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avalt-my.sharepoint.com/personal/vidas_linava_lt/Documents/Dokumentai/AUSTINSKAS/PREZIDIUMO posėdžiai/48 kongresas/Medžiaga/"/>
    </mc:Choice>
  </mc:AlternateContent>
  <xr:revisionPtr revIDLastSave="4" documentId="8_{ED824F58-E4A1-4CFA-AF7E-1B9F8536AA53}" xr6:coauthVersionLast="47" xr6:coauthVersionMax="47" xr10:uidLastSave="{CD652D18-3B49-4834-A975-77B26DE81318}"/>
  <bookViews>
    <workbookView xWindow="-120" yWindow="-120" windowWidth="29040" windowHeight="15720" xr2:uid="{980D6A26-FE65-4813-8051-AA02AFBF3815}"/>
  </bookViews>
  <sheets>
    <sheet name="Biudžetas" sheetId="1" r:id="rId1"/>
    <sheet name="Bandomasis balansas" sheetId="10" state="hidden" r:id="rId2"/>
    <sheet name="DU suvestinė" sheetId="5" state="hidden" r:id="rId3"/>
    <sheet name="IT" sheetId="6" state="hidden" r:id="rId4"/>
    <sheet name="PSA" sheetId="11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2" i="1" l="1"/>
  <c r="X56" i="11"/>
  <c r="X47" i="11"/>
  <c r="X40" i="11"/>
  <c r="X26" i="11"/>
  <c r="X12" i="11"/>
  <c r="X11" i="11"/>
  <c r="X15" i="11" s="1"/>
  <c r="X50" i="11" s="1"/>
  <c r="X51" i="11" s="1"/>
  <c r="X54" i="11" s="1"/>
  <c r="X61" i="11" s="1"/>
  <c r="S12" i="11" l="1"/>
  <c r="S37" i="11"/>
  <c r="T25" i="11" l="1"/>
  <c r="T24" i="11"/>
  <c r="T14" i="11"/>
  <c r="T8" i="11"/>
  <c r="J36" i="1"/>
  <c r="O35" i="1"/>
  <c r="J35" i="1"/>
  <c r="E124" i="1"/>
  <c r="I124" i="1" l="1"/>
  <c r="G124" i="1"/>
  <c r="F124" i="1"/>
  <c r="D124" i="1"/>
  <c r="C46" i="1"/>
  <c r="C124" i="1"/>
  <c r="M21" i="1"/>
  <c r="M9" i="1"/>
  <c r="M12" i="1"/>
  <c r="J16" i="1"/>
  <c r="P16" i="1" s="1"/>
  <c r="I20" i="1"/>
  <c r="H20" i="1"/>
  <c r="F20" i="1"/>
  <c r="E20" i="1"/>
  <c r="D20" i="1"/>
  <c r="C20" i="1"/>
  <c r="J13" i="1"/>
  <c r="M13" i="1" s="1"/>
  <c r="Q16" i="1" l="1"/>
  <c r="M16" i="1"/>
  <c r="T56" i="11"/>
  <c r="S56" i="11"/>
  <c r="E56" i="11"/>
  <c r="D56" i="11"/>
  <c r="C56" i="11"/>
  <c r="B56" i="11"/>
  <c r="E47" i="11"/>
  <c r="D47" i="11"/>
  <c r="B47" i="11"/>
  <c r="D40" i="11"/>
  <c r="C40" i="11"/>
  <c r="B40" i="11"/>
  <c r="T40" i="11"/>
  <c r="S40" i="11"/>
  <c r="E37" i="11"/>
  <c r="E40" i="11" s="1"/>
  <c r="C37" i="11"/>
  <c r="C47" i="11" s="1"/>
  <c r="S32" i="11"/>
  <c r="T26" i="11"/>
  <c r="E26" i="11"/>
  <c r="E32" i="11" s="1"/>
  <c r="D26" i="11"/>
  <c r="D32" i="11" s="1"/>
  <c r="B26" i="11"/>
  <c r="B32" i="11" s="1"/>
  <c r="S26" i="11"/>
  <c r="S21" i="11"/>
  <c r="E21" i="11"/>
  <c r="D21" i="11"/>
  <c r="C21" i="11"/>
  <c r="B21" i="11"/>
  <c r="J15" i="11"/>
  <c r="L14" i="11"/>
  <c r="O14" i="11" s="1"/>
  <c r="E14" i="11"/>
  <c r="D14" i="11"/>
  <c r="L13" i="11"/>
  <c r="N13" i="11" s="1"/>
  <c r="B11" i="11"/>
  <c r="B15" i="11" s="1"/>
  <c r="B50" i="11" s="1"/>
  <c r="B51" i="11" s="1"/>
  <c r="B54" i="11" s="1"/>
  <c r="D10" i="11"/>
  <c r="L9" i="11"/>
  <c r="O9" i="11" s="1"/>
  <c r="O17" i="11" s="1"/>
  <c r="J8" i="11"/>
  <c r="J10" i="11" s="1"/>
  <c r="E8" i="11"/>
  <c r="D8" i="11"/>
  <c r="S11" i="11"/>
  <c r="S15" i="11" s="1"/>
  <c r="E7" i="11"/>
  <c r="E11" i="11" s="1"/>
  <c r="D7" i="11"/>
  <c r="C11" i="11"/>
  <c r="C15" i="11" s="1"/>
  <c r="J17" i="11" l="1"/>
  <c r="L8" i="11"/>
  <c r="E15" i="11"/>
  <c r="E50" i="11" s="1"/>
  <c r="E51" i="11" s="1"/>
  <c r="E54" i="11" s="1"/>
  <c r="E61" i="11" s="1"/>
  <c r="D11" i="11"/>
  <c r="D15" i="11" s="1"/>
  <c r="D50" i="11" s="1"/>
  <c r="D51" i="11" s="1"/>
  <c r="D54" i="11" s="1"/>
  <c r="D61" i="11" s="1"/>
  <c r="C26" i="11"/>
  <c r="C32" i="11" s="1"/>
  <c r="C50" i="11" s="1"/>
  <c r="C51" i="11" s="1"/>
  <c r="B61" i="11"/>
  <c r="B63" i="11"/>
  <c r="L15" i="11"/>
  <c r="S47" i="11"/>
  <c r="S50" i="11" s="1"/>
  <c r="S51" i="11" s="1"/>
  <c r="T47" i="11"/>
  <c r="E63" i="11" l="1"/>
  <c r="L10" i="11"/>
  <c r="L17" i="11" s="1"/>
  <c r="N8" i="11"/>
  <c r="N17" i="11" s="1"/>
  <c r="D63" i="11"/>
  <c r="C61" i="11"/>
  <c r="C63" i="11"/>
  <c r="S67" i="11"/>
  <c r="S54" i="11"/>
  <c r="L125" i="1"/>
  <c r="L123" i="1"/>
  <c r="L121" i="1"/>
  <c r="L112" i="1"/>
  <c r="L108" i="1"/>
  <c r="L93" i="1"/>
  <c r="L92" i="1" s="1"/>
  <c r="L89" i="1"/>
  <c r="L83" i="1"/>
  <c r="L79" i="1"/>
  <c r="L76" i="1"/>
  <c r="L73" i="1"/>
  <c r="L61" i="1"/>
  <c r="L53" i="1" s="1"/>
  <c r="L49" i="1"/>
  <c r="L44" i="1"/>
  <c r="L43" i="1" s="1"/>
  <c r="L34" i="1"/>
  <c r="L24" i="1"/>
  <c r="L17" i="1"/>
  <c r="L7" i="1" s="1"/>
  <c r="S63" i="11" l="1"/>
  <c r="S61" i="11"/>
  <c r="L64" i="1"/>
  <c r="L42" i="1" s="1"/>
  <c r="L23" i="1" s="1"/>
  <c r="L6" i="1" s="1"/>
  <c r="L132" i="1" l="1"/>
  <c r="T7" i="11"/>
  <c r="T11" i="11" s="1"/>
  <c r="T15" i="11" s="1"/>
  <c r="T50" i="11" s="1"/>
  <c r="T51" i="11" s="1"/>
  <c r="T54" i="11" s="1"/>
  <c r="T61" i="11" s="1"/>
  <c r="L135" i="1"/>
  <c r="L140" i="1" s="1"/>
  <c r="J31" i="1"/>
  <c r="H53" i="1"/>
  <c r="K42" i="1"/>
  <c r="K17" i="1"/>
  <c r="K7" i="1" s="1"/>
  <c r="K6" i="1" l="1"/>
  <c r="K132" i="1"/>
  <c r="P31" i="1"/>
  <c r="Q31" i="1"/>
  <c r="D10" i="6"/>
  <c r="J10" i="5"/>
  <c r="I10" i="5"/>
  <c r="G10" i="5"/>
  <c r="M109" i="1"/>
  <c r="M98" i="1"/>
  <c r="M96" i="1"/>
  <c r="M95" i="1"/>
  <c r="M91" i="1"/>
  <c r="M88" i="1"/>
  <c r="M87" i="1"/>
  <c r="M86" i="1"/>
  <c r="M84" i="1"/>
  <c r="M80" i="1"/>
  <c r="M77" i="1"/>
  <c r="M75" i="1"/>
  <c r="M70" i="1"/>
  <c r="M69" i="1"/>
  <c r="I61" i="1"/>
  <c r="I79" i="1"/>
  <c r="I46" i="1"/>
  <c r="I39" i="1" l="1"/>
  <c r="I29" i="1"/>
  <c r="I24" i="1" s="1"/>
  <c r="I8" i="1"/>
  <c r="J47" i="1"/>
  <c r="M47" i="1" s="1"/>
  <c r="Q47" i="1" l="1"/>
  <c r="P47" i="1"/>
  <c r="N130" i="1"/>
  <c r="N131" i="1"/>
  <c r="N133" i="1"/>
  <c r="N69" i="1"/>
  <c r="N70" i="1"/>
  <c r="N75" i="1"/>
  <c r="N77" i="1"/>
  <c r="N80" i="1"/>
  <c r="N84" i="1"/>
  <c r="N86" i="1"/>
  <c r="N87" i="1"/>
  <c r="N88" i="1"/>
  <c r="N91" i="1"/>
  <c r="N95" i="1"/>
  <c r="N96" i="1"/>
  <c r="N98" i="1"/>
  <c r="N109" i="1"/>
  <c r="G79" i="1"/>
  <c r="D6" i="6"/>
  <c r="K9" i="5"/>
  <c r="I9" i="5"/>
  <c r="G9" i="5"/>
  <c r="H9" i="5" s="1"/>
  <c r="M9" i="5" s="1"/>
  <c r="I8" i="5"/>
  <c r="K8" i="5" s="1"/>
  <c r="H8" i="5"/>
  <c r="M8" i="5" s="1"/>
  <c r="G8" i="5"/>
  <c r="H52" i="1" l="1"/>
  <c r="H49" i="1"/>
  <c r="H79" i="1"/>
  <c r="H46" i="1"/>
  <c r="H44" i="1" s="1"/>
  <c r="H43" i="1" s="1"/>
  <c r="H39" i="1"/>
  <c r="H37" i="1" s="1"/>
  <c r="H29" i="1"/>
  <c r="H24" i="1" s="1"/>
  <c r="M25" i="1"/>
  <c r="N25" i="1" s="1"/>
  <c r="M26" i="1"/>
  <c r="N26" i="1" s="1"/>
  <c r="M28" i="1"/>
  <c r="N28" i="1" s="1"/>
  <c r="M31" i="1"/>
  <c r="N31" i="1" s="1"/>
  <c r="M32" i="1"/>
  <c r="N32" i="1" s="1"/>
  <c r="M33" i="1"/>
  <c r="N33" i="1" s="1"/>
  <c r="N35" i="1"/>
  <c r="M36" i="1"/>
  <c r="M38" i="1"/>
  <c r="N38" i="1" s="1"/>
  <c r="N47" i="1"/>
  <c r="M54" i="1"/>
  <c r="N54" i="1" s="1"/>
  <c r="M56" i="1"/>
  <c r="N56" i="1" s="1"/>
  <c r="M59" i="1"/>
  <c r="N59" i="1" s="1"/>
  <c r="M101" i="1"/>
  <c r="N101" i="1" s="1"/>
  <c r="M102" i="1"/>
  <c r="N102" i="1" s="1"/>
  <c r="M103" i="1"/>
  <c r="N103" i="1" s="1"/>
  <c r="M104" i="1"/>
  <c r="N104" i="1" s="1"/>
  <c r="M107" i="1"/>
  <c r="N107" i="1" s="1"/>
  <c r="M114" i="1"/>
  <c r="N114" i="1" s="1"/>
  <c r="M115" i="1"/>
  <c r="N115" i="1" s="1"/>
  <c r="M117" i="1"/>
  <c r="N117" i="1" s="1"/>
  <c r="M119" i="1"/>
  <c r="N119" i="1" s="1"/>
  <c r="M120" i="1"/>
  <c r="N120" i="1" s="1"/>
  <c r="N9" i="1"/>
  <c r="N13" i="1"/>
  <c r="N16" i="1"/>
  <c r="N21" i="1"/>
  <c r="H8" i="1"/>
  <c r="N36" i="1" l="1"/>
  <c r="O36" i="1"/>
  <c r="G46" i="1"/>
  <c r="G37" i="1"/>
  <c r="G29" i="1"/>
  <c r="G24" i="1" s="1"/>
  <c r="F129" i="1"/>
  <c r="C29" i="1"/>
  <c r="C24" i="1" s="1"/>
  <c r="D29" i="1"/>
  <c r="D24" i="1" s="1"/>
  <c r="E29" i="1"/>
  <c r="E24" i="1" s="1"/>
  <c r="F29" i="1"/>
  <c r="F24" i="1"/>
  <c r="F37" i="1" l="1"/>
  <c r="F34" i="1" s="1"/>
  <c r="F118" i="1"/>
  <c r="F79" i="1"/>
  <c r="F46" i="1"/>
  <c r="F45" i="1"/>
  <c r="M5" i="5" l="1"/>
  <c r="M6" i="5"/>
  <c r="M7" i="5"/>
  <c r="M11" i="5"/>
  <c r="M12" i="5"/>
  <c r="M13" i="5"/>
  <c r="M14" i="5"/>
  <c r="M15" i="5"/>
  <c r="M4" i="5"/>
  <c r="H10" i="5"/>
  <c r="M10" i="5" s="1"/>
  <c r="H11" i="5"/>
  <c r="H12" i="5"/>
  <c r="H13" i="5"/>
  <c r="H14" i="5"/>
  <c r="H15" i="5"/>
  <c r="I26" i="5"/>
  <c r="I27" i="5"/>
  <c r="H23" i="5"/>
  <c r="I23" i="5" s="1"/>
  <c r="H24" i="5"/>
  <c r="I24" i="5" s="1"/>
  <c r="H25" i="5"/>
  <c r="I25" i="5" s="1"/>
  <c r="H26" i="5"/>
  <c r="H27" i="5"/>
  <c r="H28" i="5"/>
  <c r="I28" i="5" s="1"/>
  <c r="H29" i="5"/>
  <c r="I29" i="5" s="1"/>
  <c r="H30" i="5"/>
  <c r="I30" i="5" s="1"/>
  <c r="H31" i="5"/>
  <c r="I31" i="5" s="1"/>
  <c r="H32" i="5"/>
  <c r="I32" i="5" s="1"/>
  <c r="H33" i="5"/>
  <c r="I33" i="5" s="1"/>
  <c r="H22" i="5"/>
  <c r="I22" i="5" s="1"/>
  <c r="I7" i="5"/>
  <c r="G7" i="5"/>
  <c r="H7" i="5" s="1"/>
  <c r="I6" i="5"/>
  <c r="G6" i="5"/>
  <c r="H6" i="5" s="1"/>
  <c r="K5" i="5"/>
  <c r="K6" i="5"/>
  <c r="K7" i="5"/>
  <c r="K10" i="5"/>
  <c r="K11" i="5"/>
  <c r="K12" i="5"/>
  <c r="K13" i="5"/>
  <c r="K14" i="5"/>
  <c r="K15" i="5"/>
  <c r="I5" i="5"/>
  <c r="I4" i="5"/>
  <c r="K4" i="5" s="1"/>
  <c r="G5" i="5"/>
  <c r="H5" i="5" s="1"/>
  <c r="D4" i="5"/>
  <c r="G4" i="5"/>
  <c r="H4" i="5" s="1"/>
  <c r="E123" i="1" l="1"/>
  <c r="E41" i="1"/>
  <c r="D45" i="1"/>
  <c r="E17" i="1"/>
  <c r="E46" i="1"/>
  <c r="E44" i="1" s="1"/>
  <c r="E43" i="1" s="1"/>
  <c r="E79" i="1"/>
  <c r="E39" i="1"/>
  <c r="E37" i="1" s="1"/>
  <c r="E34" i="1" s="1"/>
  <c r="E8" i="1"/>
  <c r="E7" i="1" s="1"/>
  <c r="D79" i="1"/>
  <c r="D46" i="1"/>
  <c r="D39" i="1"/>
  <c r="D37" i="1" s="1"/>
  <c r="D34" i="1" s="1"/>
  <c r="D17" i="1"/>
  <c r="D7" i="1" s="1"/>
  <c r="C79" i="1"/>
  <c r="C39" i="1"/>
  <c r="C37" i="1" s="1"/>
  <c r="C34" i="1" s="1"/>
  <c r="C8" i="1"/>
  <c r="D123" i="1"/>
  <c r="F123" i="1"/>
  <c r="G123" i="1"/>
  <c r="C61" i="1"/>
  <c r="D61" i="1"/>
  <c r="E61" i="1"/>
  <c r="F61" i="1"/>
  <c r="G61" i="1"/>
  <c r="F44" i="1"/>
  <c r="F43" i="1" s="1"/>
  <c r="G17" i="1"/>
  <c r="G7" i="1" s="1"/>
  <c r="D49" i="1"/>
  <c r="E49" i="1"/>
  <c r="F49" i="1"/>
  <c r="G49" i="1"/>
  <c r="I49" i="1"/>
  <c r="D53" i="1"/>
  <c r="D52" i="1" s="1"/>
  <c r="E53" i="1"/>
  <c r="E52" i="1" s="1"/>
  <c r="F53" i="1"/>
  <c r="F52" i="1" s="1"/>
  <c r="G53" i="1"/>
  <c r="G52" i="1" s="1"/>
  <c r="G44" i="1"/>
  <c r="G43" i="1" s="1"/>
  <c r="H61" i="1"/>
  <c r="D89" i="1"/>
  <c r="E89" i="1"/>
  <c r="F89" i="1"/>
  <c r="G89" i="1"/>
  <c r="D73" i="1"/>
  <c r="D125" i="1"/>
  <c r="E125" i="1"/>
  <c r="F125" i="1"/>
  <c r="G125" i="1"/>
  <c r="D121" i="1"/>
  <c r="E121" i="1"/>
  <c r="F121" i="1"/>
  <c r="G121" i="1"/>
  <c r="D112" i="1"/>
  <c r="E112" i="1"/>
  <c r="F112" i="1"/>
  <c r="G112" i="1"/>
  <c r="D108" i="1"/>
  <c r="E108" i="1"/>
  <c r="F108" i="1"/>
  <c r="G108" i="1"/>
  <c r="D93" i="1"/>
  <c r="D92" i="1" s="1"/>
  <c r="E93" i="1"/>
  <c r="E92" i="1" s="1"/>
  <c r="F93" i="1"/>
  <c r="F92" i="1" s="1"/>
  <c r="G93" i="1"/>
  <c r="G92" i="1" s="1"/>
  <c r="D83" i="1"/>
  <c r="E83" i="1"/>
  <c r="F83" i="1"/>
  <c r="G83" i="1"/>
  <c r="E73" i="1"/>
  <c r="F73" i="1"/>
  <c r="F64" i="1" s="1"/>
  <c r="G73" i="1"/>
  <c r="G64" i="1" s="1"/>
  <c r="G34" i="1"/>
  <c r="C112" i="1"/>
  <c r="H16" i="5"/>
  <c r="L16" i="5"/>
  <c r="D34" i="5"/>
  <c r="E34" i="5"/>
  <c r="F34" i="5"/>
  <c r="G34" i="5"/>
  <c r="H34" i="5"/>
  <c r="C34" i="5"/>
  <c r="I34" i="5"/>
  <c r="F16" i="5"/>
  <c r="J16" i="5"/>
  <c r="E16" i="5"/>
  <c r="G16" i="5"/>
  <c r="D16" i="5"/>
  <c r="C16" i="5"/>
  <c r="I16" i="5"/>
  <c r="I44" i="1"/>
  <c r="F17" i="1"/>
  <c r="F7" i="1" s="1"/>
  <c r="D44" i="1" l="1"/>
  <c r="D43" i="1" s="1"/>
  <c r="M16" i="5"/>
  <c r="J8" i="1"/>
  <c r="D64" i="1"/>
  <c r="E64" i="1"/>
  <c r="E42" i="1" s="1"/>
  <c r="E23" i="1" s="1"/>
  <c r="G42" i="1"/>
  <c r="G23" i="1" s="1"/>
  <c r="F42" i="1"/>
  <c r="F23" i="1" s="1"/>
  <c r="K16" i="5"/>
  <c r="Q9" i="1"/>
  <c r="Q13" i="1"/>
  <c r="Q25" i="1"/>
  <c r="Q28" i="1"/>
  <c r="Q33" i="1"/>
  <c r="Q35" i="1"/>
  <c r="Q36" i="1"/>
  <c r="Q77" i="1"/>
  <c r="Q80" i="1"/>
  <c r="Q107" i="1"/>
  <c r="Q109" i="1"/>
  <c r="Q114" i="1"/>
  <c r="Q115" i="1"/>
  <c r="P9" i="1"/>
  <c r="P13" i="1"/>
  <c r="P25" i="1"/>
  <c r="P28" i="1"/>
  <c r="P33" i="1"/>
  <c r="P35" i="1"/>
  <c r="P36" i="1"/>
  <c r="P77" i="1"/>
  <c r="P80" i="1"/>
  <c r="P107" i="1"/>
  <c r="P109" i="1"/>
  <c r="P114" i="1"/>
  <c r="P115" i="1"/>
  <c r="J105" i="1"/>
  <c r="M105" i="1" s="1"/>
  <c r="J10" i="1"/>
  <c r="M10" i="1" s="1"/>
  <c r="J11" i="1"/>
  <c r="M11" i="1" s="1"/>
  <c r="N12" i="1"/>
  <c r="J14" i="1"/>
  <c r="M14" i="1" s="1"/>
  <c r="J15" i="1"/>
  <c r="M15" i="1" s="1"/>
  <c r="J18" i="1"/>
  <c r="M18" i="1" s="1"/>
  <c r="J19" i="1"/>
  <c r="J20" i="1"/>
  <c r="J22" i="1"/>
  <c r="M22" i="1" s="1"/>
  <c r="J27" i="1"/>
  <c r="M27" i="1" s="1"/>
  <c r="N27" i="1" s="1"/>
  <c r="J29" i="1"/>
  <c r="M29" i="1" s="1"/>
  <c r="J30" i="1"/>
  <c r="M30" i="1" s="1"/>
  <c r="J39" i="1"/>
  <c r="M39" i="1" s="1"/>
  <c r="J40" i="1"/>
  <c r="M40" i="1" s="1"/>
  <c r="J41" i="1"/>
  <c r="M41" i="1" s="1"/>
  <c r="J45" i="1"/>
  <c r="M45" i="1" s="1"/>
  <c r="J46" i="1"/>
  <c r="M46" i="1" s="1"/>
  <c r="J48" i="1"/>
  <c r="M48" i="1" s="1"/>
  <c r="N48" i="1" s="1"/>
  <c r="J50" i="1"/>
  <c r="M50" i="1" s="1"/>
  <c r="J51" i="1"/>
  <c r="M51" i="1" s="1"/>
  <c r="J55" i="1"/>
  <c r="M55" i="1" s="1"/>
  <c r="J57" i="1"/>
  <c r="J58" i="1"/>
  <c r="M58" i="1" s="1"/>
  <c r="J60" i="1"/>
  <c r="M60" i="1" s="1"/>
  <c r="N60" i="1" s="1"/>
  <c r="J61" i="1"/>
  <c r="M61" i="1" s="1"/>
  <c r="J62" i="1"/>
  <c r="J63" i="1"/>
  <c r="M63" i="1" s="1"/>
  <c r="J65" i="1"/>
  <c r="M65" i="1" s="1"/>
  <c r="J66" i="1"/>
  <c r="M66" i="1" s="1"/>
  <c r="J67" i="1"/>
  <c r="M67" i="1" s="1"/>
  <c r="J68" i="1"/>
  <c r="M68" i="1" s="1"/>
  <c r="N68" i="1" s="1"/>
  <c r="J71" i="1"/>
  <c r="M71" i="1" s="1"/>
  <c r="J72" i="1"/>
  <c r="M72" i="1" s="1"/>
  <c r="J74" i="1"/>
  <c r="M74" i="1" s="1"/>
  <c r="J76" i="1"/>
  <c r="M76" i="1" s="1"/>
  <c r="J78" i="1"/>
  <c r="M78" i="1" s="1"/>
  <c r="J79" i="1"/>
  <c r="M79" i="1" s="1"/>
  <c r="J81" i="1"/>
  <c r="M81" i="1" s="1"/>
  <c r="J82" i="1"/>
  <c r="M82" i="1" s="1"/>
  <c r="J85" i="1"/>
  <c r="M85" i="1" s="1"/>
  <c r="J90" i="1"/>
  <c r="M90" i="1" s="1"/>
  <c r="J94" i="1"/>
  <c r="M94" i="1" s="1"/>
  <c r="J97" i="1"/>
  <c r="J99" i="1"/>
  <c r="M99" i="1" s="1"/>
  <c r="J100" i="1"/>
  <c r="M100" i="1" s="1"/>
  <c r="N100" i="1" s="1"/>
  <c r="J106" i="1"/>
  <c r="M106" i="1" s="1"/>
  <c r="J110" i="1"/>
  <c r="M110" i="1" s="1"/>
  <c r="J111" i="1"/>
  <c r="M111" i="1" s="1"/>
  <c r="J113" i="1"/>
  <c r="M113" i="1" s="1"/>
  <c r="N113" i="1" s="1"/>
  <c r="J116" i="1"/>
  <c r="M116" i="1" s="1"/>
  <c r="J118" i="1"/>
  <c r="J122" i="1"/>
  <c r="M122" i="1" s="1"/>
  <c r="J124" i="1"/>
  <c r="M124" i="1" s="1"/>
  <c r="J126" i="1"/>
  <c r="M126" i="1" s="1"/>
  <c r="J127" i="1"/>
  <c r="J128" i="1"/>
  <c r="M128" i="1" s="1"/>
  <c r="J129" i="1"/>
  <c r="M129" i="1" s="1"/>
  <c r="J133" i="1"/>
  <c r="O133" i="1" s="1"/>
  <c r="J134" i="1"/>
  <c r="M134" i="1" s="1"/>
  <c r="N134" i="1" s="1"/>
  <c r="I125" i="1"/>
  <c r="I123" i="1"/>
  <c r="I121" i="1"/>
  <c r="I112" i="1"/>
  <c r="I108" i="1"/>
  <c r="I93" i="1"/>
  <c r="I92" i="1" s="1"/>
  <c r="I89" i="1"/>
  <c r="I83" i="1"/>
  <c r="I73" i="1"/>
  <c r="I64" i="1" s="1"/>
  <c r="I53" i="1"/>
  <c r="I52" i="1" s="1"/>
  <c r="I43" i="1"/>
  <c r="I37" i="1"/>
  <c r="I34" i="1" s="1"/>
  <c r="I17" i="1"/>
  <c r="I7" i="1" s="1"/>
  <c r="H125" i="1"/>
  <c r="H123" i="1"/>
  <c r="H121" i="1"/>
  <c r="H112" i="1"/>
  <c r="H108" i="1"/>
  <c r="H93" i="1"/>
  <c r="H92" i="1" s="1"/>
  <c r="H89" i="1"/>
  <c r="H83" i="1"/>
  <c r="H73" i="1"/>
  <c r="H64" i="1" s="1"/>
  <c r="H34" i="1"/>
  <c r="H17" i="1"/>
  <c r="H7" i="1" s="1"/>
  <c r="D42" i="1" l="1"/>
  <c r="D23" i="1" s="1"/>
  <c r="M19" i="1"/>
  <c r="N19" i="1" s="1"/>
  <c r="N55" i="1"/>
  <c r="O55" i="1"/>
  <c r="M118" i="1"/>
  <c r="N118" i="1" s="1"/>
  <c r="M97" i="1"/>
  <c r="N97" i="1" s="1"/>
  <c r="M62" i="1"/>
  <c r="N62" i="1" s="1"/>
  <c r="N72" i="1"/>
  <c r="O72" i="1"/>
  <c r="M8" i="1"/>
  <c r="N8" i="1" s="1"/>
  <c r="M127" i="1"/>
  <c r="N127" i="1" s="1"/>
  <c r="N106" i="1"/>
  <c r="O106" i="1"/>
  <c r="M57" i="1"/>
  <c r="N57" i="1" s="1"/>
  <c r="N40" i="1"/>
  <c r="O40" i="1"/>
  <c r="N18" i="1"/>
  <c r="O18" i="1"/>
  <c r="O61" i="1"/>
  <c r="N61" i="1"/>
  <c r="O129" i="1"/>
  <c r="N129" i="1"/>
  <c r="O128" i="1"/>
  <c r="N128" i="1"/>
  <c r="O124" i="1"/>
  <c r="N124" i="1"/>
  <c r="O111" i="1"/>
  <c r="N111" i="1"/>
  <c r="O110" i="1"/>
  <c r="N110" i="1"/>
  <c r="O105" i="1"/>
  <c r="N105" i="1"/>
  <c r="O94" i="1"/>
  <c r="N94" i="1"/>
  <c r="O90" i="1"/>
  <c r="N90" i="1"/>
  <c r="O85" i="1"/>
  <c r="N85" i="1"/>
  <c r="O82" i="1"/>
  <c r="N82" i="1"/>
  <c r="O81" i="1"/>
  <c r="N81" i="1"/>
  <c r="O79" i="1"/>
  <c r="N79" i="1"/>
  <c r="O78" i="1"/>
  <c r="N78" i="1"/>
  <c r="O76" i="1"/>
  <c r="N76" i="1"/>
  <c r="O71" i="1"/>
  <c r="N71" i="1"/>
  <c r="O67" i="1"/>
  <c r="N67" i="1"/>
  <c r="O66" i="1"/>
  <c r="N66" i="1"/>
  <c r="O65" i="1"/>
  <c r="N65" i="1"/>
  <c r="O63" i="1"/>
  <c r="N63" i="1"/>
  <c r="O51" i="1"/>
  <c r="N51" i="1"/>
  <c r="O50" i="1"/>
  <c r="N50" i="1"/>
  <c r="O122" i="1"/>
  <c r="N122" i="1"/>
  <c r="O46" i="1"/>
  <c r="N46" i="1"/>
  <c r="O45" i="1"/>
  <c r="N45" i="1"/>
  <c r="O39" i="1"/>
  <c r="N39" i="1"/>
  <c r="O29" i="1"/>
  <c r="N29" i="1"/>
  <c r="N22" i="1"/>
  <c r="N14" i="1"/>
  <c r="N11" i="1"/>
  <c r="N10" i="1"/>
  <c r="O126" i="1"/>
  <c r="N126" i="1"/>
  <c r="N116" i="1"/>
  <c r="O116" i="1"/>
  <c r="O99" i="1"/>
  <c r="N99" i="1"/>
  <c r="O74" i="1"/>
  <c r="N74" i="1"/>
  <c r="O58" i="1"/>
  <c r="N58" i="1"/>
  <c r="O41" i="1"/>
  <c r="N41" i="1"/>
  <c r="O30" i="1"/>
  <c r="N30" i="1"/>
  <c r="Q60" i="1"/>
  <c r="P8" i="1"/>
  <c r="Q48" i="1"/>
  <c r="P99" i="1"/>
  <c r="P118" i="1"/>
  <c r="P29" i="1"/>
  <c r="Q133" i="1"/>
  <c r="Q90" i="1"/>
  <c r="P46" i="1"/>
  <c r="Q22" i="1"/>
  <c r="Q10" i="1"/>
  <c r="Q122" i="1"/>
  <c r="Q30" i="1"/>
  <c r="P97" i="1"/>
  <c r="Q12" i="1"/>
  <c r="Q11" i="1"/>
  <c r="P51" i="1"/>
  <c r="Q134" i="1"/>
  <c r="Q63" i="1"/>
  <c r="P94" i="1"/>
  <c r="Q27" i="1"/>
  <c r="Q72" i="1"/>
  <c r="P85" i="1"/>
  <c r="Q20" i="1"/>
  <c r="Q127" i="1"/>
  <c r="P78" i="1"/>
  <c r="P50" i="1"/>
  <c r="Q74" i="1"/>
  <c r="P61" i="1"/>
  <c r="Q128" i="1"/>
  <c r="P71" i="1"/>
  <c r="P45" i="1"/>
  <c r="P110" i="1"/>
  <c r="P68" i="1"/>
  <c r="P126" i="1"/>
  <c r="Q106" i="1"/>
  <c r="Q81" i="1"/>
  <c r="Q67" i="1"/>
  <c r="Q57" i="1"/>
  <c r="Q40" i="1"/>
  <c r="Q18" i="1"/>
  <c r="Q65" i="1"/>
  <c r="Q14" i="1"/>
  <c r="P76" i="1"/>
  <c r="Q116" i="1"/>
  <c r="P62" i="1"/>
  <c r="Q129" i="1"/>
  <c r="P113" i="1"/>
  <c r="P111" i="1"/>
  <c r="P60" i="1"/>
  <c r="P82" i="1"/>
  <c r="P58" i="1"/>
  <c r="P41" i="1"/>
  <c r="P19" i="1"/>
  <c r="P105" i="1"/>
  <c r="Q124" i="1"/>
  <c r="P100" i="1"/>
  <c r="Q79" i="1"/>
  <c r="Q66" i="1"/>
  <c r="P55" i="1"/>
  <c r="P39" i="1"/>
  <c r="Q15" i="1"/>
  <c r="P48" i="1"/>
  <c r="Q50" i="1"/>
  <c r="P12" i="1"/>
  <c r="P127" i="1"/>
  <c r="Q126" i="1"/>
  <c r="Q113" i="1"/>
  <c r="P106" i="1"/>
  <c r="Q105" i="1"/>
  <c r="Q97" i="1"/>
  <c r="Q100" i="1"/>
  <c r="Q99" i="1"/>
  <c r="Q94" i="1"/>
  <c r="Q82" i="1"/>
  <c r="P72" i="1"/>
  <c r="Q71" i="1"/>
  <c r="P66" i="1"/>
  <c r="P65" i="1"/>
  <c r="P63" i="1"/>
  <c r="I42" i="1"/>
  <c r="I23" i="1" s="1"/>
  <c r="I132" i="1" s="1"/>
  <c r="P57" i="1"/>
  <c r="Q55" i="1"/>
  <c r="P27" i="1"/>
  <c r="G6" i="1"/>
  <c r="G135" i="1" s="1"/>
  <c r="G140" i="1" s="1"/>
  <c r="G132" i="1"/>
  <c r="F6" i="1"/>
  <c r="F132" i="1"/>
  <c r="E6" i="1"/>
  <c r="E135" i="1" s="1"/>
  <c r="E140" i="1" s="1"/>
  <c r="E132" i="1"/>
  <c r="D6" i="1"/>
  <c r="D135" i="1" s="1"/>
  <c r="D140" i="1" s="1"/>
  <c r="D132" i="1"/>
  <c r="P11" i="1"/>
  <c r="Q8" i="1"/>
  <c r="P14" i="1"/>
  <c r="P15" i="1"/>
  <c r="P18" i="1"/>
  <c r="P22" i="1"/>
  <c r="Q19" i="1"/>
  <c r="P10" i="1"/>
  <c r="P128" i="1"/>
  <c r="H42" i="1"/>
  <c r="H23" i="1" s="1"/>
  <c r="H6" i="1" s="1"/>
  <c r="H135" i="1" s="1"/>
  <c r="H140" i="1" s="1"/>
  <c r="Q51" i="1"/>
  <c r="P122" i="1"/>
  <c r="Q110" i="1"/>
  <c r="Q46" i="1"/>
  <c r="Q62" i="1"/>
  <c r="Q61" i="1"/>
  <c r="Q45" i="1"/>
  <c r="Q39" i="1"/>
  <c r="P124" i="1"/>
  <c r="P116" i="1"/>
  <c r="Q58" i="1"/>
  <c r="Q111" i="1"/>
  <c r="P129" i="1"/>
  <c r="P90" i="1"/>
  <c r="P81" i="1"/>
  <c r="P79" i="1"/>
  <c r="P74" i="1"/>
  <c r="Q68" i="1"/>
  <c r="Q41" i="1"/>
  <c r="Q118" i="1"/>
  <c r="Q85" i="1"/>
  <c r="Q78" i="1"/>
  <c r="P40" i="1"/>
  <c r="P30" i="1"/>
  <c r="P134" i="1"/>
  <c r="P133" i="1"/>
  <c r="P20" i="1"/>
  <c r="Q76" i="1"/>
  <c r="P67" i="1"/>
  <c r="Q29" i="1"/>
  <c r="O8" i="1" l="1"/>
  <c r="O62" i="1"/>
  <c r="O22" i="1"/>
  <c r="O14" i="1"/>
  <c r="O11" i="1"/>
  <c r="O10" i="1"/>
  <c r="O20" i="1"/>
  <c r="N20" i="1"/>
  <c r="N15" i="1"/>
  <c r="O15" i="1"/>
  <c r="F135" i="1"/>
  <c r="F140" i="1" s="1"/>
  <c r="K135" i="1"/>
  <c r="H132" i="1"/>
  <c r="I6" i="1"/>
  <c r="I135" i="1" s="1"/>
  <c r="I140" i="1" s="1"/>
  <c r="C125" i="1"/>
  <c r="J125" i="1" s="1"/>
  <c r="M125" i="1" s="1"/>
  <c r="C123" i="1"/>
  <c r="J123" i="1" s="1"/>
  <c r="M123" i="1" s="1"/>
  <c r="C121" i="1"/>
  <c r="J121" i="1" s="1"/>
  <c r="M121" i="1" s="1"/>
  <c r="J112" i="1"/>
  <c r="M112" i="1" s="1"/>
  <c r="C108" i="1"/>
  <c r="J108" i="1" s="1"/>
  <c r="M108" i="1" s="1"/>
  <c r="C101" i="1"/>
  <c r="C93" i="1"/>
  <c r="J93" i="1" s="1"/>
  <c r="M93" i="1" s="1"/>
  <c r="C92" i="1"/>
  <c r="J92" i="1" s="1"/>
  <c r="M92" i="1" s="1"/>
  <c r="C89" i="1"/>
  <c r="J89" i="1" s="1"/>
  <c r="M89" i="1" s="1"/>
  <c r="C83" i="1"/>
  <c r="J83" i="1" s="1"/>
  <c r="M83" i="1" s="1"/>
  <c r="C73" i="1"/>
  <c r="C53" i="1"/>
  <c r="C49" i="1"/>
  <c r="J49" i="1" s="1"/>
  <c r="M49" i="1" s="1"/>
  <c r="C44" i="1"/>
  <c r="J37" i="1"/>
  <c r="M37" i="1" s="1"/>
  <c r="J34" i="1"/>
  <c r="M34" i="1" s="1"/>
  <c r="J24" i="1"/>
  <c r="M24" i="1" s="1"/>
  <c r="C17" i="1"/>
  <c r="C7" i="1" s="1"/>
  <c r="O123" i="1" l="1"/>
  <c r="N123" i="1"/>
  <c r="O108" i="1"/>
  <c r="N108" i="1"/>
  <c r="O89" i="1"/>
  <c r="N89" i="1"/>
  <c r="O83" i="1"/>
  <c r="N83" i="1"/>
  <c r="O49" i="1"/>
  <c r="N49" i="1"/>
  <c r="O121" i="1"/>
  <c r="N121" i="1"/>
  <c r="O37" i="1"/>
  <c r="N37" i="1"/>
  <c r="O112" i="1"/>
  <c r="N112" i="1"/>
  <c r="O34" i="1"/>
  <c r="N34" i="1"/>
  <c r="O24" i="1"/>
  <c r="N24" i="1"/>
  <c r="O125" i="1"/>
  <c r="N125" i="1"/>
  <c r="O92" i="1"/>
  <c r="N92" i="1"/>
  <c r="O93" i="1"/>
  <c r="N93" i="1"/>
  <c r="K140" i="1"/>
  <c r="J17" i="1"/>
  <c r="M17" i="1" s="1"/>
  <c r="Q125" i="1"/>
  <c r="P125" i="1"/>
  <c r="P123" i="1"/>
  <c r="Q123" i="1"/>
  <c r="Q121" i="1"/>
  <c r="P121" i="1"/>
  <c r="P92" i="1"/>
  <c r="Q92" i="1"/>
  <c r="P93" i="1"/>
  <c r="Q93" i="1"/>
  <c r="C64" i="1"/>
  <c r="J64" i="1" s="1"/>
  <c r="M64" i="1" s="1"/>
  <c r="J73" i="1"/>
  <c r="M73" i="1" s="1"/>
  <c r="C52" i="1"/>
  <c r="J52" i="1" s="1"/>
  <c r="M52" i="1" s="1"/>
  <c r="J53" i="1"/>
  <c r="M53" i="1" s="1"/>
  <c r="P49" i="1"/>
  <c r="Q49" i="1"/>
  <c r="C43" i="1"/>
  <c r="J43" i="1" s="1"/>
  <c r="M43" i="1" s="1"/>
  <c r="J44" i="1"/>
  <c r="M44" i="1" s="1"/>
  <c r="Q112" i="1"/>
  <c r="P112" i="1"/>
  <c r="P108" i="1"/>
  <c r="Q108" i="1"/>
  <c r="Q89" i="1"/>
  <c r="P89" i="1"/>
  <c r="P83" i="1"/>
  <c r="Q83" i="1"/>
  <c r="P34" i="1"/>
  <c r="Q34" i="1"/>
  <c r="P37" i="1"/>
  <c r="Q37" i="1"/>
  <c r="Q24" i="1"/>
  <c r="P24" i="1"/>
  <c r="O44" i="1" l="1"/>
  <c r="N44" i="1"/>
  <c r="O43" i="1"/>
  <c r="N43" i="1"/>
  <c r="O64" i="1"/>
  <c r="N64" i="1"/>
  <c r="O73" i="1"/>
  <c r="N73" i="1"/>
  <c r="O53" i="1"/>
  <c r="N53" i="1"/>
  <c r="O52" i="1"/>
  <c r="N52" i="1"/>
  <c r="Q17" i="1"/>
  <c r="Q64" i="1"/>
  <c r="P17" i="1"/>
  <c r="J7" i="1"/>
  <c r="P64" i="1"/>
  <c r="Q73" i="1"/>
  <c r="P73" i="1"/>
  <c r="P53" i="1"/>
  <c r="Q53" i="1"/>
  <c r="Q52" i="1"/>
  <c r="P52" i="1"/>
  <c r="P44" i="1"/>
  <c r="Q44" i="1"/>
  <c r="P43" i="1"/>
  <c r="Q43" i="1"/>
  <c r="C42" i="1"/>
  <c r="C23" i="1" s="1"/>
  <c r="C132" i="1" s="1"/>
  <c r="J132" i="1" s="1"/>
  <c r="M132" i="1" s="1"/>
  <c r="O17" i="1" l="1"/>
  <c r="N17" i="1"/>
  <c r="M7" i="1"/>
  <c r="N7" i="1" s="1"/>
  <c r="Q7" i="1"/>
  <c r="P7" i="1"/>
  <c r="J42" i="1"/>
  <c r="Q132" i="1"/>
  <c r="P132" i="1"/>
  <c r="C6" i="1"/>
  <c r="J6" i="1" s="1"/>
  <c r="J23" i="1"/>
  <c r="O7" i="1" l="1"/>
  <c r="M42" i="1"/>
  <c r="M23" i="1" s="1"/>
  <c r="O132" i="1"/>
  <c r="N132" i="1"/>
  <c r="Q6" i="1"/>
  <c r="Q42" i="1"/>
  <c r="P42" i="1"/>
  <c r="P6" i="1"/>
  <c r="C135" i="1"/>
  <c r="C140" i="1" s="1"/>
  <c r="P23" i="1"/>
  <c r="Q23" i="1"/>
  <c r="N42" i="1" l="1"/>
  <c r="O42" i="1"/>
  <c r="O23" i="1"/>
  <c r="M6" i="1"/>
  <c r="O6" i="1" s="1"/>
  <c r="N23" i="1"/>
  <c r="J135" i="1"/>
  <c r="N6" i="1" l="1"/>
  <c r="M135" i="1"/>
  <c r="J140" i="1"/>
  <c r="M140" i="1" s="1"/>
  <c r="N140" i="1" s="1"/>
  <c r="Q135" i="1"/>
  <c r="P135" i="1"/>
  <c r="O135" i="1" l="1"/>
  <c r="N135" i="1"/>
  <c r="Q140" i="1"/>
  <c r="O140" i="1"/>
  <c r="P14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ELVapskaita25</author>
    <author>Lina Simonavičienė</author>
  </authors>
  <commentList>
    <comment ref="B13" authorId="0" shapeId="0" xr:uid="{14A9AF27-9794-4AAB-9135-C279C774ADF7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Biudžete gauta parama parodoma, bet DK ji bus 3 klasei, todėl skirsis galutinis r ezultatas tarp DK ir Biudžeto
</t>
        </r>
      </text>
    </comment>
    <comment ref="F20" authorId="0" shapeId="0" xr:uid="{1DF3B316-6400-497E-AF58-3F2E893A5705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Teig. Val. Kursų pokytis - 47872.36
IRU - 19974.00</t>
        </r>
      </text>
    </comment>
    <comment ref="L20" authorId="0" shapeId="0" xr:uid="{812FB032-DDD1-406F-A600-C055ECF07163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Planuojama parduoti butą Vaitkaus gatvėje.
</t>
        </r>
      </text>
    </comment>
    <comment ref="I22" authorId="0" shapeId="0" xr:uid="{3FE02FCD-C46C-4107-8F2D-6DCDE04E8E2A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Z.B. - 6624.76
K.L. - 4750.00
Prokovičius 
</t>
        </r>
      </text>
    </comment>
    <comment ref="I27" authorId="0" shapeId="0" xr:uid="{9C4B94E6-3ADE-4B1B-A175-7B2E29595FEF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CreditNote 2024500789 - Metinė paskata</t>
        </r>
      </text>
    </comment>
    <comment ref="E36" authorId="0" shapeId="0" xr:uid="{799DE6F3-94E2-433D-BF3B-A0A97A8445AE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Alma Career Lithuania</t>
        </r>
      </text>
    </comment>
    <comment ref="I48" authorId="0" shapeId="0" xr:uid="{4A6472DB-17B2-468F-BECA-9AE621CDED33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2024 metų atostoginių kaupinių perskaičiavimas</t>
        </r>
      </text>
    </comment>
    <comment ref="H55" authorId="0" shapeId="0" xr:uid="{C6837B00-8654-49D6-A85B-A889D86664C0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Anykščių sporto ir laisvalaikio centras
</t>
        </r>
      </text>
    </comment>
    <comment ref="I90" authorId="0" shapeId="0" xr:uid="{19564646-7AC5-484D-9BE3-F4783512BE01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Prisidėjo Lietuvos verslo konfederacija, suma 250
</t>
        </r>
      </text>
    </comment>
    <comment ref="D105" authorId="0" shapeId="0" xr:uid="{6451E0F3-2638-4DE4-96A3-3FF6E4D0272F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Sąskaitos už 2024.12 ir 2025.01</t>
        </r>
      </text>
    </comment>
    <comment ref="D118" authorId="0" shapeId="0" xr:uid="{023C3EC7-6EA3-41A5-AE83-D06B036CA1B7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Žyminis mokestis</t>
        </r>
      </text>
    </comment>
    <comment ref="B122" authorId="1" shapeId="0" xr:uid="{EE3B3906-1114-4317-A80A-CAA1A99F1B2F}">
      <text>
        <r>
          <rPr>
            <b/>
            <sz val="9"/>
            <color indexed="81"/>
            <rFont val="Tahoma"/>
            <family val="2"/>
            <charset val="186"/>
          </rPr>
          <t>Lina Simonavičienė:</t>
        </r>
        <r>
          <rPr>
            <sz val="9"/>
            <color indexed="81"/>
            <rFont val="Tahoma"/>
            <family val="2"/>
            <charset val="186"/>
          </rPr>
          <t xml:space="preserve">
+nematerialus turtas
internetinis puslapis</t>
        </r>
      </text>
    </comment>
    <comment ref="L122" authorId="0" shapeId="0" xr:uid="{B1491EA7-35C2-44E4-ABB8-95BC617DEC83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Vaitkaus buto mėnesio nusidėvėjmas 292.84. 
</t>
        </r>
      </text>
    </comment>
    <comment ref="E127" authorId="0" shapeId="0" xr:uid="{BE142936-D8BD-495F-802C-0B57EC9322B0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Muitinei sumokėta bauda</t>
        </r>
      </text>
    </comment>
    <comment ref="F127" authorId="0" shapeId="0" xr:uid="{A309FEC7-D514-493C-94DE-5D5238763F72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Sumokėta Zenonui Buivydui 12076.40 ir Kauno teritorinei muitinei</t>
        </r>
      </text>
    </comment>
    <comment ref="B139" authorId="1" shapeId="0" xr:uid="{D72B6C83-FCD4-46AD-9947-B637B214666E}">
      <text>
        <r>
          <rPr>
            <b/>
            <sz val="9"/>
            <color indexed="81"/>
            <rFont val="Tahoma"/>
            <family val="2"/>
            <charset val="186"/>
          </rPr>
          <t>Lina Simonavičienė:</t>
        </r>
        <r>
          <rPr>
            <sz val="9"/>
            <color indexed="81"/>
            <rFont val="Tahoma"/>
            <family val="2"/>
            <charset val="186"/>
          </rPr>
          <t xml:space="preserve">
DK 50170, eliminuoti ne siu metu rezultata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ELVapskaita25</author>
  </authors>
  <commentList>
    <comment ref="S12" authorId="0" shapeId="0" xr:uid="{4A1BAAA8-21CB-4DF2-9B81-AE1DA07BB6BC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2025.01.01
EUR:   95 553.95
USD:   36 497.79
2025.07.31
EUR: 122 746.25
USD:   55 901.43</t>
        </r>
      </text>
    </comment>
    <comment ref="A36" authorId="0" shapeId="0" xr:uid="{083C56BC-E63E-4431-9076-64E25F8DA889}">
      <text>
        <r>
          <rPr>
            <b/>
            <sz val="9"/>
            <color indexed="81"/>
            <rFont val="Tahoma"/>
            <family val="2"/>
          </rPr>
          <t>ELVapskaita25:</t>
        </r>
        <r>
          <rPr>
            <sz val="9"/>
            <color indexed="81"/>
            <rFont val="Tahoma"/>
            <family val="2"/>
          </rPr>
          <t xml:space="preserve">
Paskolos darbuotojams</t>
        </r>
      </text>
    </comment>
    <comment ref="A49" authorId="0" shapeId="0" xr:uid="{43B58DB4-0979-45EB-85CE-94B2A9B394F8}">
      <text>
        <r>
          <rPr>
            <b/>
            <sz val="9"/>
            <color indexed="81"/>
            <rFont val="Tahoma"/>
            <charset val="1"/>
          </rPr>
          <t>ELVapskaita25:</t>
        </r>
        <r>
          <rPr>
            <sz val="9"/>
            <color indexed="81"/>
            <rFont val="Tahoma"/>
            <charset val="1"/>
          </rPr>
          <t xml:space="preserve">
Pinigų likutis pagal 2024 metų biudžetą
</t>
        </r>
      </text>
    </comment>
  </commentList>
</comments>
</file>

<file path=xl/sharedStrings.xml><?xml version="1.0" encoding="utf-8"?>
<sst xmlns="http://schemas.openxmlformats.org/spreadsheetml/2006/main" count="767" uniqueCount="643">
  <si>
    <t>Nr.</t>
  </si>
  <si>
    <t>Pavadinimas</t>
  </si>
  <si>
    <t>Rezultatas</t>
  </si>
  <si>
    <t xml:space="preserve">Pajamos                       </t>
  </si>
  <si>
    <t>5 011</t>
  </si>
  <si>
    <t xml:space="preserve">TIR knygelės           </t>
  </si>
  <si>
    <t>Knygelių skaičius</t>
  </si>
  <si>
    <t>5 022</t>
  </si>
  <si>
    <t>Tarpininkavimo pasl.už vizų įf</t>
  </si>
  <si>
    <t>5028; 50281</t>
  </si>
  <si>
    <t>Informacijos teikimo paslaugos</t>
  </si>
  <si>
    <t>5 0282</t>
  </si>
  <si>
    <t>Reklamos pajamos</t>
  </si>
  <si>
    <t>Gauta parama</t>
  </si>
  <si>
    <t>5 101</t>
  </si>
  <si>
    <t>Nuomininkams už komunalines pas.</t>
  </si>
  <si>
    <t>5 221</t>
  </si>
  <si>
    <t xml:space="preserve">Turto nuomos pajamos          </t>
  </si>
  <si>
    <t>5 230</t>
  </si>
  <si>
    <t>5024; 5033; 522; 5222; 5310; 53401;</t>
  </si>
  <si>
    <t>Kitos pajamos</t>
  </si>
  <si>
    <t xml:space="preserve">   iš jų: banko palūkanos už indėlį</t>
  </si>
  <si>
    <t xml:space="preserve">   iš jų: Kita</t>
  </si>
  <si>
    <t>Pelno komisiniai (Miller)</t>
  </si>
  <si>
    <t>Galutinai priteistos sumos pagal pareikštus ieškinius</t>
  </si>
  <si>
    <t>6</t>
  </si>
  <si>
    <t xml:space="preserve">Sąnaudos                      </t>
  </si>
  <si>
    <t>6 010</t>
  </si>
  <si>
    <t>Savikaina</t>
  </si>
  <si>
    <t>6 0100</t>
  </si>
  <si>
    <t xml:space="preserve">TIR įv. paskatinimai </t>
  </si>
  <si>
    <t xml:space="preserve">   t.t. IRU komisiniai nuo grąžintų TIR knygelių (EPD)</t>
  </si>
  <si>
    <t xml:space="preserve">   t.t. IRU komisiniai nuo grąžintų TIR knygelių (ne EPD)</t>
  </si>
  <si>
    <t>6 0113</t>
  </si>
  <si>
    <t>TIR vežimo paslaugos</t>
  </si>
  <si>
    <t>6 0100; 6 0114; 60100; 60101; 60116; 60118</t>
  </si>
  <si>
    <t>TIR knyg./IRU savikaina</t>
  </si>
  <si>
    <t>6 01401</t>
  </si>
  <si>
    <t>Vizų iforminimo savikaina</t>
  </si>
  <si>
    <t>6 01402</t>
  </si>
  <si>
    <t>PVM grąžinimo savikaina</t>
  </si>
  <si>
    <r>
      <t>Kitos tiesioginės sąnaudos</t>
    </r>
    <r>
      <rPr>
        <sz val="11"/>
        <color indexed="10"/>
        <rFont val="Cambria"/>
        <family val="1"/>
        <charset val="186"/>
      </rPr>
      <t xml:space="preserve"> </t>
    </r>
  </si>
  <si>
    <t>6 11</t>
  </si>
  <si>
    <t>Netiesioginės sąnaudos</t>
  </si>
  <si>
    <t>6 110</t>
  </si>
  <si>
    <t>Profilaktinis tikrinimas, darbų sauga</t>
  </si>
  <si>
    <t>6 1120</t>
  </si>
  <si>
    <t xml:space="preserve">Reklamos sąnaudos            </t>
  </si>
  <si>
    <t xml:space="preserve">Kitos reklamos sąnaudos (spaudos ats.)       </t>
  </si>
  <si>
    <t xml:space="preserve">   t.t. Spaudos atstovas</t>
  </si>
  <si>
    <t xml:space="preserve">   t.t. Viešinimo paslaugos</t>
  </si>
  <si>
    <t>6 1131</t>
  </si>
  <si>
    <t>Literatūra ir spausdiniai</t>
  </si>
  <si>
    <t>6 1141</t>
  </si>
  <si>
    <t>Reprezentacinės sąnaud.</t>
  </si>
  <si>
    <t>6 12</t>
  </si>
  <si>
    <t>Bendrosios ir administracinės sąnaudos</t>
  </si>
  <si>
    <t>6 121</t>
  </si>
  <si>
    <t>Darbo užmokestis ir mokesčiai</t>
  </si>
  <si>
    <t>6 12110</t>
  </si>
  <si>
    <t>Darbuotojų darbo užmokestis ir mokesčiai</t>
  </si>
  <si>
    <t xml:space="preserve">  iš jų: Prezidentas ir prezidiumas</t>
  </si>
  <si>
    <t xml:space="preserve">  iš jų: Sekretoriatas</t>
  </si>
  <si>
    <t>Išeitinės</t>
  </si>
  <si>
    <t>Atostogų rezervo koregavimas</t>
  </si>
  <si>
    <t>6 12230</t>
  </si>
  <si>
    <t>Transporto ir susij. sąnaudos</t>
  </si>
  <si>
    <t>6 12232</t>
  </si>
  <si>
    <t>Automobilio eksploatacijos sąn</t>
  </si>
  <si>
    <t>6 12233</t>
  </si>
  <si>
    <t>Kuro sąnaudos</t>
  </si>
  <si>
    <t>6 123</t>
  </si>
  <si>
    <t xml:space="preserve">Renginių organ.ir dalyvavimas </t>
  </si>
  <si>
    <t>6 1230</t>
  </si>
  <si>
    <t xml:space="preserve">   iš jų: Parodos</t>
  </si>
  <si>
    <t xml:space="preserve">   iš jų: Regioniniai susirinkimai</t>
  </si>
  <si>
    <t xml:space="preserve">   iš jų: Kalėdinis vakaras</t>
  </si>
  <si>
    <t>6 1231</t>
  </si>
  <si>
    <t>Kongreso organizavimo sąnaudos</t>
  </si>
  <si>
    <t>6 1232</t>
  </si>
  <si>
    <t>Kt.bendr.ir adminstr.sąnaudos</t>
  </si>
  <si>
    <t>6 1233</t>
  </si>
  <si>
    <t>Dovanos</t>
  </si>
  <si>
    <t>6 124</t>
  </si>
  <si>
    <t xml:space="preserve">Komandiruočių sąnaudos      </t>
  </si>
  <si>
    <t>6 1241</t>
  </si>
  <si>
    <t>Administracijos komandiruotės</t>
  </si>
  <si>
    <t>6 1242</t>
  </si>
  <si>
    <t>Prezidiumo komandiruotės</t>
  </si>
  <si>
    <t>6 125</t>
  </si>
  <si>
    <t>Administracinės sąnaudos</t>
  </si>
  <si>
    <t>6 1250</t>
  </si>
  <si>
    <t>Kanceliarinės sąnaudos</t>
  </si>
  <si>
    <t>6 1251</t>
  </si>
  <si>
    <t>Pašto ir siuntų sąnaudos</t>
  </si>
  <si>
    <t>Kompiuter.ir techn.program.sąnaudos</t>
  </si>
  <si>
    <t xml:space="preserve">Ūkio sąnaudos </t>
  </si>
  <si>
    <t>6 1254</t>
  </si>
  <si>
    <t>Archyvavimo paslaugos</t>
  </si>
  <si>
    <t>6 1255; 6162</t>
  </si>
  <si>
    <t>Auto nuoma</t>
  </si>
  <si>
    <t>6 1256</t>
  </si>
  <si>
    <t>Ryšio sąnaudos</t>
  </si>
  <si>
    <t>6 1257</t>
  </si>
  <si>
    <t>Vertimai</t>
  </si>
  <si>
    <t>Patalpų aptarn./rem.</t>
  </si>
  <si>
    <t>6 13020</t>
  </si>
  <si>
    <t>Patalpų aptar/rem. (Linava)</t>
  </si>
  <si>
    <t>6 13021</t>
  </si>
  <si>
    <t>Patalpų aptar/rem. (nuomininkai)</t>
  </si>
  <si>
    <t>Elektros energija</t>
  </si>
  <si>
    <t>6 13050</t>
  </si>
  <si>
    <t>Elektros energija (Linava)</t>
  </si>
  <si>
    <t>Elektros energija (nuomininkai)</t>
  </si>
  <si>
    <t>Šildymas ir kt. sąnaudos</t>
  </si>
  <si>
    <t>6 13060</t>
  </si>
  <si>
    <t>Šildymas (Linava)</t>
  </si>
  <si>
    <t>Šildymas (nuomininkai)</t>
  </si>
  <si>
    <t>6 13070</t>
  </si>
  <si>
    <t>Apsauga</t>
  </si>
  <si>
    <t>6 13080, 6261</t>
  </si>
  <si>
    <t>Kitos suteiktos paslaugos</t>
  </si>
  <si>
    <t xml:space="preserve">   t.t. duomenų sauga</t>
  </si>
  <si>
    <t>6 1310</t>
  </si>
  <si>
    <t>Regionų ofisų eksploatacija</t>
  </si>
  <si>
    <t>6 1312</t>
  </si>
  <si>
    <t>LT regionų Komunalinės sąnaudos</t>
  </si>
  <si>
    <t>6 1314</t>
  </si>
  <si>
    <t>Regionų patalpų nuoma</t>
  </si>
  <si>
    <t>6 14</t>
  </si>
  <si>
    <t>Nario mok.IRU ir kt. visos narystės</t>
  </si>
  <si>
    <t>6 140</t>
  </si>
  <si>
    <t>Nario mokesčiai</t>
  </si>
  <si>
    <t>6 141</t>
  </si>
  <si>
    <t>IRU pažeidimai</t>
  </si>
  <si>
    <t>6 15</t>
  </si>
  <si>
    <t>Konsultacinės paslaugos</t>
  </si>
  <si>
    <t>Teisinės paslaugos</t>
  </si>
  <si>
    <t xml:space="preserve">  iš jų: teisinės paslaugos</t>
  </si>
  <si>
    <t xml:space="preserve">  iš jų: teisininko darbo vieta</t>
  </si>
  <si>
    <t xml:space="preserve">  iš jų: teisinės paslaugos dėl mobilumo paketo</t>
  </si>
  <si>
    <t xml:space="preserve">  iš jų: susigrąžintos sumos</t>
  </si>
  <si>
    <t>Teisinės paslaugos revizijai</t>
  </si>
  <si>
    <t>6 1511</t>
  </si>
  <si>
    <t>Revizijos komisija</t>
  </si>
  <si>
    <t>6 151</t>
  </si>
  <si>
    <t xml:space="preserve">Audito paslaugos              </t>
  </si>
  <si>
    <t>6 152</t>
  </si>
  <si>
    <t xml:space="preserve">Verslo konsultavimas          </t>
  </si>
  <si>
    <t xml:space="preserve">  iš jų: konsultacijos dėl VMI akto</t>
  </si>
  <si>
    <t xml:space="preserve">  iš jų: mokestinės, finansinės ir pan. konsultacijos</t>
  </si>
  <si>
    <t xml:space="preserve">  iš jų: kitos konsultacijos</t>
  </si>
  <si>
    <t>6 1521</t>
  </si>
  <si>
    <t>Buhalterinės apsk. paslaugos</t>
  </si>
  <si>
    <t>6 1522</t>
  </si>
  <si>
    <t>Kreditingumo infor.paslauga</t>
  </si>
  <si>
    <t>Mokymai ir konsultacijos</t>
  </si>
  <si>
    <t>6 16</t>
  </si>
  <si>
    <t>Draudimų sąnaudos</t>
  </si>
  <si>
    <t>6 160</t>
  </si>
  <si>
    <t xml:space="preserve">Kelionių draudimo sąnaudos             </t>
  </si>
  <si>
    <t>6 161</t>
  </si>
  <si>
    <t xml:space="preserve">Pastatų ir įrengimų draudimas </t>
  </si>
  <si>
    <t>6 162</t>
  </si>
  <si>
    <t xml:space="preserve">Automobilių draudimas         </t>
  </si>
  <si>
    <t>6 17</t>
  </si>
  <si>
    <t>Veiklos mokesčių sąnaudos</t>
  </si>
  <si>
    <t>6 1702</t>
  </si>
  <si>
    <t xml:space="preserve">Nekilnojamojo turto mokestis  </t>
  </si>
  <si>
    <t>6 1703</t>
  </si>
  <si>
    <t xml:space="preserve">Žemės nuomos mokestis         </t>
  </si>
  <si>
    <t>6 17031</t>
  </si>
  <si>
    <t>Aplinkos teršimo mok. sąnaudos</t>
  </si>
  <si>
    <t>Neatskaitomo PVM sąnaudos LT</t>
  </si>
  <si>
    <t>Užsienio PVM neatskaitomas</t>
  </si>
  <si>
    <t>6 17040</t>
  </si>
  <si>
    <t xml:space="preserve">Kiti mokesčiai                </t>
  </si>
  <si>
    <t>6 19</t>
  </si>
  <si>
    <t>Labdara ir parama</t>
  </si>
  <si>
    <t>6 190</t>
  </si>
  <si>
    <t xml:space="preserve">Labdara ir parama             </t>
  </si>
  <si>
    <t>6 122</t>
  </si>
  <si>
    <t>Nusidėvėjimas</t>
  </si>
  <si>
    <t>6 12201</t>
  </si>
  <si>
    <t>620</t>
  </si>
  <si>
    <t>Kitos veiklos sąnaudos</t>
  </si>
  <si>
    <t>6261; 61260</t>
  </si>
  <si>
    <t>6 3</t>
  </si>
  <si>
    <t>Finansinė veikla</t>
  </si>
  <si>
    <t>6 3011</t>
  </si>
  <si>
    <t>6 3020</t>
  </si>
  <si>
    <t>Baudos ir delspinigiai / klaidos</t>
  </si>
  <si>
    <t>6 3022</t>
  </si>
  <si>
    <t xml:space="preserve">Banko  mokesčiai              </t>
  </si>
  <si>
    <t>6 5</t>
  </si>
  <si>
    <t xml:space="preserve">Pelno mokesčiai               </t>
  </si>
  <si>
    <t>6 510</t>
  </si>
  <si>
    <t xml:space="preserve">Ataskait.metų pelno mok.      </t>
  </si>
  <si>
    <t>Rezultatas prieš nario mokestį ir rezervą</t>
  </si>
  <si>
    <t>3 1211; 24217</t>
  </si>
  <si>
    <t xml:space="preserve">Nario mokestis      </t>
  </si>
  <si>
    <t>Ankstesnių laikotarpių 2023 m.pajamos</t>
  </si>
  <si>
    <t>Valiutų kursų pokytis</t>
  </si>
  <si>
    <t>Nurašytos sumos pagal suderinimo aktus</t>
  </si>
  <si>
    <t>Ankstesnių laikotarpių pajamos/sąnaudos</t>
  </si>
  <si>
    <r>
      <t xml:space="preserve">45183; </t>
    </r>
    <r>
      <rPr>
        <b/>
        <sz val="7"/>
        <rFont val="Cambria"/>
        <family val="1"/>
        <charset val="186"/>
      </rPr>
      <t>50170</t>
    </r>
  </si>
  <si>
    <t>Viršgarantinio fondo permokų kompensavimas</t>
  </si>
  <si>
    <t>Rezultatas (įvertinus skolų nurašymą)</t>
  </si>
  <si>
    <t>Skirtumas</t>
  </si>
  <si>
    <t>Biudžeto įvykdymo procentas</t>
  </si>
  <si>
    <t>Lietuvos nacionalinė vežėjų automobiliais asociacija LINAVA</t>
  </si>
  <si>
    <t>Iš viso:</t>
  </si>
  <si>
    <t>Mėnuo</t>
  </si>
  <si>
    <t xml:space="preserve">Vienkartinės premijos </t>
  </si>
  <si>
    <t>Komandiruotės</t>
  </si>
  <si>
    <t>Išeitinė kompensacija</t>
  </si>
  <si>
    <t>Iš viso priskaičiuota DU</t>
  </si>
  <si>
    <t>Pajamų ir Sodros mokesčiai</t>
  </si>
  <si>
    <t>Kiti išskaitymai (skola asociacijai)</t>
  </si>
  <si>
    <t>Iš viso išskaičiuota</t>
  </si>
  <si>
    <t>Sodra iš asociacijos lėšų</t>
  </si>
  <si>
    <t>Atlygis už paslaugas</t>
  </si>
  <si>
    <t>Iš viso priskaičiuota</t>
  </si>
  <si>
    <t>Pajamų mokestis</t>
  </si>
  <si>
    <t>Sodra</t>
  </si>
  <si>
    <t>Kiti išskaitymai</t>
  </si>
  <si>
    <t>Išmokėta</t>
  </si>
  <si>
    <t>Kitos pajamos: natūra, ligos pašalpa, kompens. už atostogas, mamadieniai</t>
  </si>
  <si>
    <t>Ilgalaikio turto kategorija</t>
  </si>
  <si>
    <t>Įsigijimo savikaina</t>
  </si>
  <si>
    <t>Likutinė vertė</t>
  </si>
  <si>
    <t>Finansinės apskaitos duomenys, EUR</t>
  </si>
  <si>
    <t>Inventorizavimo metu nustatytas trūkumas (-), perteklius (+), EUR</t>
  </si>
  <si>
    <t>Įsigijmo savikaina</t>
  </si>
  <si>
    <t>Nematerialus turtas</t>
  </si>
  <si>
    <t>Materialus turtas iš viso:</t>
  </si>
  <si>
    <t>t. sk. pastatas Jankiškių g. 41, Vilnius</t>
  </si>
  <si>
    <t>t. sk. butas Vilniuje, Vaitkaus g.</t>
  </si>
  <si>
    <t>t. sk. kompiuterinė technika</t>
  </si>
  <si>
    <t>t. sk. įrengimai, baldai ir kitas turtas</t>
  </si>
  <si>
    <t>t. sk. transporto priemonės</t>
  </si>
  <si>
    <t>Ilgalaikis finansinis turtas:</t>
  </si>
  <si>
    <t>t. sk. paskolos darbuotojams</t>
  </si>
  <si>
    <t>t. sk. patronuojamų įmonių akcijos</t>
  </si>
  <si>
    <t>t. sk. investicijos į kitas įmones</t>
  </si>
  <si>
    <t>20 292</t>
  </si>
  <si>
    <t>4 300 871</t>
  </si>
  <si>
    <t>3 948 966</t>
  </si>
  <si>
    <t>52 711</t>
  </si>
  <si>
    <t>30 755</t>
  </si>
  <si>
    <t>261 705</t>
  </si>
  <si>
    <t>33 517</t>
  </si>
  <si>
    <t>Sausio faktas</t>
  </si>
  <si>
    <t>Vasario faktas</t>
  </si>
  <si>
    <t>Kovo faktas</t>
  </si>
  <si>
    <t>Balandžio faktas</t>
  </si>
  <si>
    <t>Gegužės faktas</t>
  </si>
  <si>
    <t>Birželio faktas</t>
  </si>
  <si>
    <t>Liepos faktas</t>
  </si>
  <si>
    <t>2025 m.  patvirtintas biudžetas EUR</t>
  </si>
  <si>
    <t>2025 metų darbuotojų darbo užmokesčio suvestinė</t>
  </si>
  <si>
    <t>2025 metų Prezidiumo  darbo užmokesčio suvestinė</t>
  </si>
  <si>
    <t>Etatinis atlyginimas</t>
  </si>
  <si>
    <t>7/9</t>
  </si>
  <si>
    <t>6/8</t>
  </si>
  <si>
    <t>DU sąnaudos su komandiruotpinigiais ir darbd. Sodra</t>
  </si>
  <si>
    <t>Filtravimo sąlygos:</t>
  </si>
  <si>
    <t>Ataskaitos Nr.  3032 / S66</t>
  </si>
  <si>
    <t>Liet. nac. vež. aut. asoc. "LINAVA"</t>
  </si>
  <si>
    <t>Jankiškių g. 41, LT-02300, Vilnius, Vilnius</t>
  </si>
  <si>
    <t>Lapo Nr.  1</t>
  </si>
  <si>
    <t>Bandomas balansas</t>
  </si>
  <si>
    <t>Sąskaitos kodas / Pavadinimas</t>
  </si>
  <si>
    <t>Likutis periodo pradžiai</t>
  </si>
  <si>
    <t>Apyvarta per periodą</t>
  </si>
  <si>
    <t>Likutis periodo pabaigai</t>
  </si>
  <si>
    <t>Debetas</t>
  </si>
  <si>
    <t>Kreditas</t>
  </si>
  <si>
    <t>1 ILGALAIKIS TURTAS</t>
  </si>
  <si>
    <t>11 ILGALAIKIS NEMATERIALUS TURTAS</t>
  </si>
  <si>
    <t>  113 KITAS NEMATERIALUSIS TURTAS</t>
  </si>
  <si>
    <t>   11310 Įsigijimo savikaina</t>
  </si>
  <si>
    <t>   11330 Amortizacija  (-)</t>
  </si>
  <si>
    <t>120 ILGALAIKIS MATERIALUSIS TURTAS</t>
  </si>
  <si>
    <t>  121 PASTATAI IR STATINIAI</t>
  </si>
  <si>
    <t>   1211 Įsigijimo savikaina</t>
  </si>
  <si>
    <t>   1213 Nusidėvėjimas</t>
  </si>
  <si>
    <t>   1215 Vertės sumažėjimas (-)</t>
  </si>
  <si>
    <t>  122 TRANSPORTO PRIEMONĖS</t>
  </si>
  <si>
    <t>   12210 Apskaitinė vertė</t>
  </si>
  <si>
    <t>   12230 Nusidėvėjimas</t>
  </si>
  <si>
    <t>  123 KOMPIUTERINĖ IR ORGANIZACINĖ T</t>
  </si>
  <si>
    <t>   12301 Įsigijimo savikaina</t>
  </si>
  <si>
    <t>   12303 Nusidėvėjimas</t>
  </si>
  <si>
    <t>  124 BALDAI</t>
  </si>
  <si>
    <t>   12411 Įsigijimo savikaina</t>
  </si>
  <si>
    <t>   12413 Nusidėvėjimas</t>
  </si>
  <si>
    <t>  125 KITAS ILGALAIKIS MATERIALUS TU</t>
  </si>
  <si>
    <t>   12510 Įsigijimo savikaina</t>
  </si>
  <si>
    <t>   12530 Nusidėvėjimas</t>
  </si>
  <si>
    <t>160 ĮMONIŲ GRUPĖS ĮMONIŲ AKCIJOS</t>
  </si>
  <si>
    <t>  1601 Patronuojamųjų įmonių akcijų vertė</t>
  </si>
  <si>
    <t>   16010 Patronuojamųjų įmonių akcijų įsigijimo savikaina</t>
  </si>
  <si>
    <t>   16019 Patronuojamųjų įmonių akcijų vertės sumažėjimas (-)</t>
  </si>
  <si>
    <t>161 ILGALAIKĖS INVESTICIJOS</t>
  </si>
  <si>
    <t>  1612 Ilgalaikės investicijos į kits</t>
  </si>
  <si>
    <t>162 ILGALAIKĖS PASKOLOS</t>
  </si>
  <si>
    <t>  1622 Ilgalaikės paskolos kitoms įmo</t>
  </si>
  <si>
    <t>  1623 Ilgalaikės paskolos darbuotoja</t>
  </si>
  <si>
    <t>  1629 Abejotinos ilgalaikės paskolos įmonėms (-)</t>
  </si>
  <si>
    <t>2 TRUMPALAIKIS TURTAS</t>
  </si>
  <si>
    <t>20 ATSARGOS , IŠANKSTINIAI APMOKĖ</t>
  </si>
  <si>
    <t>  2010 ATSARGOS</t>
  </si>
  <si>
    <t>   201121 16 lapų TIR knygelės</t>
  </si>
  <si>
    <t>   20116 6V piltonė TIR knygelė</t>
  </si>
  <si>
    <t>   20120 Nebaigtos vykdyti sutartys (projektai)</t>
  </si>
  <si>
    <t>  2020 KITOS PREKĖS SKIRTOS PARDUOTI</t>
  </si>
  <si>
    <t>   20267 Kuras</t>
  </si>
  <si>
    <t>   2028 Kitos atsargos</t>
  </si>
  <si>
    <t>  2200 IŠANKSTINIAI APMOKĖJIMAI</t>
  </si>
  <si>
    <t>   2202 Išankstiniai apmokėjimai kitos</t>
  </si>
  <si>
    <t>  2314 KITOS ATSARGOS</t>
  </si>
  <si>
    <t>   23143 Prekes skirtos perpardavimui</t>
  </si>
  <si>
    <t>24 PER VIENERIUS METUS GAUTINOS S</t>
  </si>
  <si>
    <t>  240 PIRKĖJŲ ĮSISKOLINIMAS</t>
  </si>
  <si>
    <t>   2400 VISOS PREKYBOS SKOLOS</t>
  </si>
  <si>
    <t>    240303 Vežėjo skola faktoring.PVM</t>
  </si>
  <si>
    <t>    240304 Gaut.skola vežėjo.valiut fakt.</t>
  </si>
  <si>
    <t>    2403092 Už TIR gautina skola</t>
  </si>
  <si>
    <t>    2403093 Kitos gautinos sumos</t>
  </si>
  <si>
    <t>    2403094 Už TIR administravimą gautina skola</t>
  </si>
  <si>
    <t>    2407 Gautina skola už turto nuomą</t>
  </si>
  <si>
    <t>   2421 GAUTINOS PREKYBOS/VEŽĖJŲ SKOLO</t>
  </si>
  <si>
    <t>    24213 Vežėjo skola už vizų įforminim</t>
  </si>
  <si>
    <t>    24214 Vežėjo skola už PVM grąž.iš už</t>
  </si>
  <si>
    <t>    24217 Vežėjų skola už nario mokestį nuo 2018 m.</t>
  </si>
  <si>
    <t>   243 GAUTINOS PREKYBOS SKOLOS</t>
  </si>
  <si>
    <t>    2431 Vežėjo skola už atstov.PVM grą</t>
  </si>
  <si>
    <t>250 KITOS PER VIENERIUS METUS GAUT</t>
  </si>
  <si>
    <t>  2500 ATSISKAITINGI ASMENYS</t>
  </si>
  <si>
    <t>   25001 Atskaitingi asmenys Lt</t>
  </si>
  <si>
    <t>    250001 Atskaitingas asmuo R.Austinskas</t>
  </si>
  <si>
    <t>    25001002 Algimantas Kondrusevičius</t>
  </si>
  <si>
    <t>    25001003 Vidmantas Adomaitis</t>
  </si>
  <si>
    <t>    25001007 Lina Ogurkis</t>
  </si>
  <si>
    <t>    25001053 Sonata Žagarinskienė</t>
  </si>
  <si>
    <t>    25001065 Ilja Ostrovskij</t>
  </si>
  <si>
    <t>    25001067 Jonas Grybauskas</t>
  </si>
  <si>
    <t>    25001140 Zenonas Buivydas</t>
  </si>
  <si>
    <t>    25001151 Lechas Vasiliauskas</t>
  </si>
  <si>
    <t>    25001152 SEB kortelė ***8273</t>
  </si>
  <si>
    <t>    25001154 Evelina Polujanskaitė</t>
  </si>
  <si>
    <t>    25001158 Narūnas Raulinaitis</t>
  </si>
  <si>
    <t>  2501 DEPOZITO GAUTINOS SUMOS</t>
  </si>
  <si>
    <t>   25020 Depozitas IRU</t>
  </si>
  <si>
    <t>  256 ĮVAIRIOS GAUTINOS SUMOS</t>
  </si>
  <si>
    <t>   2561 Kitos gautinos sumos</t>
  </si>
  <si>
    <t>   2569 Priteistos gautinos sumos</t>
  </si>
  <si>
    <t>   2571 Gautina suma iš IRU (permoka)</t>
  </si>
  <si>
    <t>    25801 IRU atid.garantin.fondo</t>
  </si>
  <si>
    <t>26 KITAS TRUMPALAIKIS TURTAS</t>
  </si>
  <si>
    <t>  260 TRUMPALAIKĖS INVESTICIJOS</t>
  </si>
  <si>
    <t>   263 TERMINUOTI INDĖLIAI</t>
  </si>
  <si>
    <t>    2630 TRUMPALAIKIAI TERMINUOTI INDĖL</t>
  </si>
  <si>
    <t>     26313 Trumpalaikiai terminuoti indėl</t>
  </si>
  <si>
    <t>27 PINIGAI IR PINIGŲ EKVIVALENTAI</t>
  </si>
  <si>
    <t>  271 PINIGAI BANKE</t>
  </si>
  <si>
    <t>   271111 SEB bankas (2421 CHF)</t>
  </si>
  <si>
    <t>   271140 SEB bankas (1306 CHF)</t>
  </si>
  <si>
    <t>   271195 SEB bankas (1306 EUR)</t>
  </si>
  <si>
    <t>   271204 SEB bankas (3611 EUR)</t>
  </si>
  <si>
    <t>   271703 Nordea Bank 3400 CHF</t>
  </si>
  <si>
    <t>   271735 SEB bankas (2400 EUR) TIR</t>
  </si>
  <si>
    <t>   271741 SEB bankas (1306 USD)</t>
  </si>
  <si>
    <t>   271745 SEB bankas (0579 EUR) VIZ</t>
  </si>
  <si>
    <t>   271748 SEB bankas (2421 EUR)</t>
  </si>
  <si>
    <t>   2717481 SEB bankas (2421 PLN)</t>
  </si>
  <si>
    <t>   271900 RATO kredito unija (2547 EUR)</t>
  </si>
  <si>
    <t>  2710 PINIGAI KELYJE</t>
  </si>
  <si>
    <t>   271005 ATSISKAITYMAS KORTELE</t>
  </si>
  <si>
    <t>29 BŪSIMŲ LAIKOTARPIŲ SĄNAUDOS</t>
  </si>
  <si>
    <t>  2902 Būsimų laikotarpių sąnaudos</t>
  </si>
  <si>
    <t>3 KAPITALAS IR FINANSAVIMAS</t>
  </si>
  <si>
    <t>31 FINANSAVIMAS</t>
  </si>
  <si>
    <t>  311 VISO NARIO MOKESTIS</t>
  </si>
  <si>
    <t>   31110 Kandidatų stojamasis mokestis</t>
  </si>
  <si>
    <t>   3121 NARIO MOKESTIS UŽ EINAMUOSIUS</t>
  </si>
  <si>
    <t>    31212 Tikrųjų narių nario mokestis</t>
  </si>
  <si>
    <t>  313 GARANTINIS DRAUDIMAS</t>
  </si>
  <si>
    <t>   3130 Garantinio draudimo užstatas</t>
  </si>
  <si>
    <t>   3139 Abejotinas garantinio draudimo užstatas</t>
  </si>
  <si>
    <t>34 NEPASKIRSTYTAS PELNAS (NUOSTOL</t>
  </si>
  <si>
    <t>  34100 ATASKAIT.METŲ NEPASKIRST.PELNA</t>
  </si>
  <si>
    <t>   34200 Nepask ankst metų rezultatas</t>
  </si>
  <si>
    <t>   34500 Nepask. atask. metų rezultatas</t>
  </si>
  <si>
    <t>  34222_P-S Ankst. laikotarpių klaidų taisymo rezultatas</t>
  </si>
  <si>
    <t>   34222P Ankst. laikotarpių klaidų taisymo pajamos</t>
  </si>
  <si>
    <t>   34222S Ankst. laikotarpių klaidų taisymo sanaudos</t>
  </si>
  <si>
    <t>4 MOKĖTINOS SUMOS IR ĮSIPAREIGOJ</t>
  </si>
  <si>
    <t>40 PO 1M.MOKĖT.SUMOS,ILGAL.ĮSIPAR</t>
  </si>
  <si>
    <t>  401 ILGALAIKĖS FINANSINĖS SKOLOS</t>
  </si>
  <si>
    <t>   4010 ILGALAIKIAI LIZINGO (FIN.NUOMOS) ĮSIPAREIG.</t>
  </si>
  <si>
    <t>    40101 Lizingo (finans. nuomos) ilgal</t>
  </si>
  <si>
    <t>  403 GAUTI ILGALAIKIAI IŠANKSTINIAI</t>
  </si>
  <si>
    <t>   4031 Gauti ilgalaikiai išankstiniai</t>
  </si>
  <si>
    <t>  409 KITOS MOKĖTINOS SUMOS IR ILGAL</t>
  </si>
  <si>
    <t>   4092 LRV paskola 25.03.06</t>
  </si>
  <si>
    <t>43 PER 1M.MOKĖT. SUMOS TRUMP.ĮSIP</t>
  </si>
  <si>
    <t>  431 TRUMPALAIKĖS FINANSINĖS SKOLOS</t>
  </si>
  <si>
    <t>   4311 LIZINGO (FINANS. NUOMOS) ĮSIPA</t>
  </si>
  <si>
    <t>    43110 Lizingo (finans. nuomos) įsipa</t>
  </si>
  <si>
    <t>   450 KITOS MOKĖTINOS SUMOS</t>
  </si>
  <si>
    <t>    4505 Kitos mokėtinos sumos</t>
  </si>
  <si>
    <t>   451 VISO PREKYBOS SKOLOS</t>
  </si>
  <si>
    <t>    45100 Įsiskolinimas tiekėjams</t>
  </si>
  <si>
    <t>    45101 Įsiskolinimas IRU</t>
  </si>
  <si>
    <t>    45120 Depozitai už nuomą</t>
  </si>
  <si>
    <t>    4518 Grąžintinos AON draudimo permokos</t>
  </si>
  <si>
    <t>    45181 Grąžintinos viršgarantinio fondo permokos (22 CHF)</t>
  </si>
  <si>
    <t>    45182 Grąžintinos viršgarantinio fondo permokos (22 CHF) 2011 m.</t>
  </si>
  <si>
    <t>47 MOKĖTINOS SUMOS VALST.INST.</t>
  </si>
  <si>
    <t>  470 MOKĖTINAS PVM</t>
  </si>
  <si>
    <t>   25100 Gautinas PVM</t>
  </si>
  <si>
    <t>   47011 Mokėtinas PVM</t>
  </si>
  <si>
    <t>   470119 Mokėtinas biudžetui PVM nuo 2024.01.01</t>
  </si>
  <si>
    <t>  4711 MOKĖTINI MOKESČIAI</t>
  </si>
  <si>
    <t>   47212 Mokėtinas nekilnojamo turto mo</t>
  </si>
  <si>
    <t>  4712 MOKĖTINAS DARBO UŽMOKESTIS</t>
  </si>
  <si>
    <t>   47117 Mokėtinas GPM nuo DU</t>
  </si>
  <si>
    <t>   471179 Deklaruotas GPM nuo DU</t>
  </si>
  <si>
    <t>   471190 Mokėtinos soc.draud. įm (DU)</t>
  </si>
  <si>
    <t>   4711901 Soc.dr.įmokų korekcija nuo Z.B. DU</t>
  </si>
  <si>
    <t>   4713 Mokėtinas DU (pagrind.)</t>
  </si>
  <si>
    <t>   47180 Atostoginių sukaupimai (nuo DU</t>
  </si>
  <si>
    <t>   47184 Kitos mokėtinos sumos</t>
  </si>
  <si>
    <t>   47185 Nežinomas mokėtojas</t>
  </si>
  <si>
    <t>485 ATEINANČIŲ LAIKOTARPIO PAJAMOS</t>
  </si>
  <si>
    <t>  4851 Iš pikėjų gautas avansas</t>
  </si>
  <si>
    <t>  48511 Iš pirkėjų gautas avansas 2024 m.</t>
  </si>
  <si>
    <t>  48512 Gautas nario mokestis avansu (per klaidą)</t>
  </si>
  <si>
    <t>5 PAJAMOS</t>
  </si>
  <si>
    <t>50 PREKIŲ IR PASL.PARD.PAJAMOS</t>
  </si>
  <si>
    <t>  501 TIR CARNET PARDAVIMAI</t>
  </si>
  <si>
    <t>   50121 16 lapų TIR knygelės</t>
  </si>
  <si>
    <t>   50160 6V Pilotinė TIR knygelė</t>
  </si>
  <si>
    <t>   50180 TIR knygelių pristatymas</t>
  </si>
  <si>
    <t>  502 KITI PARDAVIMAI</t>
  </si>
  <si>
    <t>   5022 Tarpininkavimo pasl.už vizų įf</t>
  </si>
  <si>
    <t>   5024 TIR administravimo mokesčiai</t>
  </si>
  <si>
    <t>   5028 Informacijos teikimo paslaugos</t>
  </si>
  <si>
    <t>51 KITOS PAJAMOS</t>
  </si>
  <si>
    <t>  5101 Perpardavimo pajamos</t>
  </si>
  <si>
    <t>  5102 Tranzito deklaracijų pildymo paslaugos</t>
  </si>
  <si>
    <t>52 KITOS NETIPINĖS VEIKLOS PAJAMO</t>
  </si>
  <si>
    <t>  5221 Turto nuomos pajamos</t>
  </si>
  <si>
    <t>  5223 Pajamos (IRU settlement agreement)</t>
  </si>
  <si>
    <t>  5224 Priteistos sumos</t>
  </si>
  <si>
    <t>53 FINANSINĖS IR INVESTICINĖS VEI</t>
  </si>
  <si>
    <t>  5330 Teig.val.kursų pas.įtaka</t>
  </si>
  <si>
    <t>545 KITOS YPATINGOSIOS PAJAMOS</t>
  </si>
  <si>
    <t>  5452 Narystės mokesčio panaudojimas</t>
  </si>
  <si>
    <t>6 SĄNAUDOS</t>
  </si>
  <si>
    <t>60 PARD.PREKIŲ IR PASLAUGŲ SAVIKA</t>
  </si>
  <si>
    <t>  601 SAVIKAINA</t>
  </si>
  <si>
    <t>   601161 16 lap.TIR knygelės savikaina</t>
  </si>
  <si>
    <t>   60118 6V pilotinė TIR knygelė</t>
  </si>
  <si>
    <t>   601401 Vizų iforminimo savikaina</t>
  </si>
  <si>
    <t>   601403 Kitos TIR sąnaudos</t>
  </si>
  <si>
    <t>611 NETIESIOGINĖS SĄNAUDOS</t>
  </si>
  <si>
    <t>  6112 REKLAMOS SĄNAUDOS</t>
  </si>
  <si>
    <t>   61120 Reklamos sąnaudos</t>
  </si>
  <si>
    <t>   61121 Reklama mas.inf.priemonėse</t>
  </si>
  <si>
    <t>   61122 Kitos reklamos sąnaudos</t>
  </si>
  <si>
    <t>  6113 PARDAVIMO RINKODAROS SĄNAUDOS</t>
  </si>
  <si>
    <t>   61131 Literatūra ir spausdiniai</t>
  </si>
  <si>
    <t>  6114 REPREZENTACIJA</t>
  </si>
  <si>
    <t>   61141 Reprezentacinės sąnaud._LA (50 %)</t>
  </si>
  <si>
    <t>   61142 Reprezentacinės sąnaud._NA (50 %)</t>
  </si>
  <si>
    <t>   61143 Reprezentacinės sąnaud. (NLA)</t>
  </si>
  <si>
    <t>612 BENDROSIOS IR ADM. SĄNAUDOS</t>
  </si>
  <si>
    <t>  6121 DARBO UŽMOKESTIS IR SU JUO SUS</t>
  </si>
  <si>
    <t>   612110 Darbuotojų darbo užmokestis</t>
  </si>
  <si>
    <t>   612111 Atlygis pagal PS</t>
  </si>
  <si>
    <t>   612120 Socialinio draudimo sąnaudos nuo DU</t>
  </si>
  <si>
    <t>   612130 Premijos</t>
  </si>
  <si>
    <t>  6122 ILGALAIKITIKIO TURTO NUSIDEVĖJ</t>
  </si>
  <si>
    <t>   612201 Materialaus ilgalaikio turto n</t>
  </si>
  <si>
    <t>   612202 Nematerialaus ilgalaikio turto</t>
  </si>
  <si>
    <t>  61223 KITOS BENDR.VEIKLOS SĄNAUDOS</t>
  </si>
  <si>
    <t>   612230 TRANSPORT.IR SŲSIJUSIOS SĄNAUD</t>
  </si>
  <si>
    <t>    612232 Automobilio eksploatacijos sąn</t>
  </si>
  <si>
    <t>    612233 Kuro sąnaudos</t>
  </si>
  <si>
    <t>  6123 RENGINIŲ ORGAN.IR DALYVAVIMAS</t>
  </si>
  <si>
    <t>   61230 Renginių sąnaudos</t>
  </si>
  <si>
    <t>    612302 Regioniniai susirinkimai</t>
  </si>
  <si>
    <t>   61231 Kongreso organizavimo sąnaudos</t>
  </si>
  <si>
    <t>  6124 KOMANDIRUOČIŲ SĄNAUDOS</t>
  </si>
  <si>
    <t>   61241 Kelionės sąnaudos</t>
  </si>
  <si>
    <t>   61242 Dienpinigiai</t>
  </si>
  <si>
    <t>   61245 Prezidiumo komandiruočių sąn.</t>
  </si>
  <si>
    <t>  6125 BIURO SĄNAUDOS</t>
  </si>
  <si>
    <t>   61250 Kanceliarinės sąnaudos</t>
  </si>
  <si>
    <t>   61251 Pašto ir siuntu sąnaudos</t>
  </si>
  <si>
    <t>   61252 Kompiuter.ir techn.program.sąn</t>
  </si>
  <si>
    <t>   61256 Ryšio sąnaudos</t>
  </si>
  <si>
    <t>   61257 Vertimai</t>
  </si>
  <si>
    <t>  6126 NELEIDŽIAMI ATSKAITYMAI</t>
  </si>
  <si>
    <t>   61260 Neleidžiami atskaitymai</t>
  </si>
  <si>
    <t>613 PATALPŲ NUOMOS IR EKSPLOTAVIMO</t>
  </si>
  <si>
    <t>  6130 VILNIAUS OFISO EKSPLOATACIJA</t>
  </si>
  <si>
    <t>   613020 Patalpų aptar/rem.Jankišk.</t>
  </si>
  <si>
    <t>   613050 Elektros energija</t>
  </si>
  <si>
    <t>   613060 Šildymas ir vandenys</t>
  </si>
  <si>
    <t>   613070 Apsauga</t>
  </si>
  <si>
    <t>   613080 Kitos suteiktos paslaugos</t>
  </si>
  <si>
    <t>614 NARIO MOK.IRU IR KITI VISINAR</t>
  </si>
  <si>
    <t>  6140 Nario mok.IRU ir dalyvio mokes</t>
  </si>
  <si>
    <t>615 KONSULTACINĖS PASLAUGOS</t>
  </si>
  <si>
    <t>  6150 Teisinės paslaugos</t>
  </si>
  <si>
    <t>  61503 Teisinių paslaugų žyminis mokestis</t>
  </si>
  <si>
    <t>  61511 Revizijos komisija</t>
  </si>
  <si>
    <t>  61521 Buhalterinės apsk. paslaugos</t>
  </si>
  <si>
    <t>  61522 Kreditingumo infor.paslauga</t>
  </si>
  <si>
    <t>616 DRAUDIMŲ SĄNAUDOS</t>
  </si>
  <si>
    <t>  6160 Draudimo sąnaudos</t>
  </si>
  <si>
    <t>  6162 Automobilių draudimas</t>
  </si>
  <si>
    <t>617 VEIKLOS MOKESČIŲ SĄNAUDOS</t>
  </si>
  <si>
    <t>  61700 Mokesčiai  (Žyminis mokestis)</t>
  </si>
  <si>
    <t>  617032 Neatskaitomo PVM sąnaudos LT</t>
  </si>
  <si>
    <t>  617034 PVM pajamos natūra</t>
  </si>
  <si>
    <t>620 KITOS VEIKLOS SĄNAUDOS</t>
  </si>
  <si>
    <t>  6261 Įvairios kitos veiklos sąnaudo</t>
  </si>
  <si>
    <t>63 FINANSINĖS-INVESTICINĖS VEIKLO</t>
  </si>
  <si>
    <t>  630 PALŪKANŲ SĄNAUDOS UŽ PASKOLAS</t>
  </si>
  <si>
    <t>   63015 Neigiama valiutos kurso pasik.</t>
  </si>
  <si>
    <t>   63020 Baudos ir delspinigiai</t>
  </si>
  <si>
    <t>   63022 Banko  mokesčiai</t>
  </si>
  <si>
    <t>   63026 Palūkanų sąnaudos</t>
  </si>
  <si>
    <t>85 Sudengimams USD</t>
  </si>
  <si>
    <t>Iš viso</t>
  </si>
  <si>
    <t>Tranzito deklaracijų pildymas</t>
  </si>
  <si>
    <t>2025 m. planas iki gruodžio mėnesio</t>
  </si>
  <si>
    <t>Biudžeto įvykdymo procentas 12.31 d.</t>
  </si>
  <si>
    <t>Lapo Nr.  2</t>
  </si>
  <si>
    <t>    250002 Atskaitingas asmuo R.Vėlavičius</t>
  </si>
  <si>
    <t>    25001020 Erlandas Mikėnas</t>
  </si>
  <si>
    <t>    25001032 Valdas Kazlauskas</t>
  </si>
  <si>
    <t>    25001159 Erlandas Mikėnas</t>
  </si>
  <si>
    <t>    25001160 Raimondas Vėlavičius</t>
  </si>
  <si>
    <t>    25001161 Justas Žukauskas</t>
  </si>
  <si>
    <t>    25001162 Gintautas Šiaškus</t>
  </si>
  <si>
    <t>Lapo Nr.  3</t>
  </si>
  <si>
    <t>Lapo Nr.  4</t>
  </si>
  <si>
    <t>  6110 Įmonei suteiktos paslaugos</t>
  </si>
  <si>
    <t>Lapo Nr.  5</t>
  </si>
  <si>
    <t>    612303 Kiti renginiai</t>
  </si>
  <si>
    <t>Lapo Nr.  6</t>
  </si>
  <si>
    <t>  62200 Ilgal.turto pard.ir nurašymo</t>
  </si>
  <si>
    <t xml:space="preserve">Skirtumas - tarp  suplanuoto ir patvirtinto </t>
  </si>
  <si>
    <t>Kitos finansinės veiklos pajamos/sąnaudos (Neigiamas val. pokytis)</t>
  </si>
  <si>
    <t>IR Op.data Intervale 2025.01.01,2025.07.31</t>
  </si>
  <si>
    <t>    25001141 Arvidas Pajuodis</t>
  </si>
  <si>
    <t>  314 GAUTAS FINANSAVIMAS</t>
  </si>
  <si>
    <t>   3145 Gauta parama</t>
  </si>
  <si>
    <t>5/7</t>
  </si>
  <si>
    <t>2025 metų 7 mėn. faktas</t>
  </si>
  <si>
    <t>2026 metų planas</t>
  </si>
  <si>
    <t>Ilgalaikio turto likučiai 2025.07.31</t>
  </si>
  <si>
    <t>PVM skyriaus pajamos (Tranzito deklaracijos)</t>
  </si>
  <si>
    <t xml:space="preserve">   iš jų: Kita (Teig. Valiutos pokytis)</t>
  </si>
  <si>
    <t>Banko palūkanos (Automobilio lizingo palūkanos)</t>
  </si>
  <si>
    <t xml:space="preserve">Pinigų srautų ataskaita </t>
  </si>
  <si>
    <t xml:space="preserve">2023 m. biudžetas </t>
  </si>
  <si>
    <t>2024 m. sausio mėn. faktas</t>
  </si>
  <si>
    <t>2024 m. vasario mėn. faktas</t>
  </si>
  <si>
    <t>EUR</t>
  </si>
  <si>
    <t>T – garantija :</t>
  </si>
  <si>
    <t>Veiklos rezultatas</t>
  </si>
  <si>
    <t>A. Viso projekto vertė 280.000 CHF;</t>
  </si>
  <si>
    <t>B. Finansuota būtų iš IRU 252,000 CHF;</t>
  </si>
  <si>
    <t>CHF</t>
  </si>
  <si>
    <t>Parduoto/ nurašyto turto likutinė vertė</t>
  </si>
  <si>
    <r>
      <t xml:space="preserve">C. LINAVA prisidės  </t>
    </r>
    <r>
      <rPr>
        <b/>
        <sz val="11"/>
        <color theme="1"/>
        <rFont val="Cambria"/>
        <family val="1"/>
        <charset val="186"/>
      </rPr>
      <t>28,000 CHF;</t>
    </r>
  </si>
  <si>
    <t>Priskaičiuotos palūkanos</t>
  </si>
  <si>
    <t>Rezultatas (po nepiniginių straipsnių atstatymo)</t>
  </si>
  <si>
    <t>Muitinės tinkamumo liudijimo projektas:</t>
  </si>
  <si>
    <t>Gautinų ir mokėtinų sumų pasikeitimas</t>
  </si>
  <si>
    <t>A. Viso projekto vertė 334 388,000 CHF;</t>
  </si>
  <si>
    <t>AON lėšų grąžinimas vežėjams</t>
  </si>
  <si>
    <t>B. Finansuota būtų iš IRU 300 950,000 CHF;</t>
  </si>
  <si>
    <t xml:space="preserve">Priteistos sumos </t>
  </si>
  <si>
    <r>
      <t xml:space="preserve">C. LINAVA prisidės </t>
    </r>
    <r>
      <rPr>
        <b/>
        <sz val="11"/>
        <color theme="1"/>
        <rFont val="Cambria"/>
        <family val="1"/>
        <charset val="186"/>
      </rPr>
      <t>33 438,000 CHF;</t>
    </r>
  </si>
  <si>
    <t>Pinigų srautai iš veiklos</t>
  </si>
  <si>
    <t>PVM skyriaus veikla</t>
  </si>
  <si>
    <t>Išmokėti avansai</t>
  </si>
  <si>
    <t>Sumokėtos skolos</t>
  </si>
  <si>
    <t>Gautos įplaukos iš VMI</t>
  </si>
  <si>
    <t>Projektinė veikla</t>
  </si>
  <si>
    <t>Gautos įplaukos iš projektinės veiklos</t>
  </si>
  <si>
    <t>Sumokėtos išmokos iš projektinės veiklos</t>
  </si>
  <si>
    <t>Ilgalaikio turto įsigijimas</t>
  </si>
  <si>
    <t>Ilgalaikio turto pardavimas</t>
  </si>
  <si>
    <t>Banko indėlių ir palūkanų grąžinimas</t>
  </si>
  <si>
    <t>Ilgalaikių investicijų įsigijimas (-) / pardavimas (+)</t>
  </si>
  <si>
    <t>Investiciniai pinigų srautai</t>
  </si>
  <si>
    <t>Finansiniai pinigų srautai</t>
  </si>
  <si>
    <t>Išduotų paskolų judėjimas</t>
  </si>
  <si>
    <t>Išduotos paskolos metų pradžioje</t>
  </si>
  <si>
    <t>Susigrąžintos paskolos per metus</t>
  </si>
  <si>
    <t>Papildomai išduotos paskolos per metus</t>
  </si>
  <si>
    <t xml:space="preserve">Gautos palūkanos </t>
  </si>
  <si>
    <t>Išduotos paskolos metų pabaigoje</t>
  </si>
  <si>
    <t>Gautų paskolų judėjimas</t>
  </si>
  <si>
    <t>Turimos paskolos metų pradžioje</t>
  </si>
  <si>
    <t>Paimtos paskolos per metus</t>
  </si>
  <si>
    <t>Sugrąžintos paskolos per metus</t>
  </si>
  <si>
    <t>Sumokėtos(-) palūkanos</t>
  </si>
  <si>
    <t>Turimų paskolų likutis metų pabaigoje</t>
  </si>
  <si>
    <t>Pinigų likutis metų pradžioje</t>
  </si>
  <si>
    <t>Pinigų pokytis per metus</t>
  </si>
  <si>
    <t>Pinigų likutis metų pabaigoje</t>
  </si>
  <si>
    <t>Linavos lėšos bankuose (Lietuvoje)</t>
  </si>
  <si>
    <t xml:space="preserve">  t.t. LRV akcijų pardavimo likutis (riboto disponavimo)</t>
  </si>
  <si>
    <t>Vežėjų lėšos Linavos sąskaitose (Lietuvoje)</t>
  </si>
  <si>
    <t xml:space="preserve">  t.t. grąžintinų garantijų likutis</t>
  </si>
  <si>
    <t xml:space="preserve">  t.t. terminuotas indėlis</t>
  </si>
  <si>
    <t xml:space="preserve">  t.t. AON lėšų likutis (2015 m.)</t>
  </si>
  <si>
    <t xml:space="preserve">  t.t. grąžintinų AON ir viršgarantinio fondo lėšų likutis (2023 m.)</t>
  </si>
  <si>
    <t>Laisvai disponuojamos lėšos</t>
  </si>
  <si>
    <t>Pinigų likutis banke 2024.06.30</t>
  </si>
  <si>
    <t>2025 m. sausio - liepos mėn. faktas</t>
  </si>
  <si>
    <t xml:space="preserve">2025 m. patvirtintas biudžetas </t>
  </si>
  <si>
    <t xml:space="preserve">   iš jų: TIR administravimo mokesčiai (baudos už TIR knygelių pamėtimą)</t>
  </si>
  <si>
    <t>Data  2025.09.16</t>
  </si>
  <si>
    <t>2026 m. planas</t>
  </si>
  <si>
    <t>Darbuotojų sk. dirbusių  pilnu etatu / iš viso</t>
  </si>
  <si>
    <t>2024 m. metų faktas</t>
  </si>
  <si>
    <t xml:space="preserve">   t.t. kitos suteiktos paslaugos (VASA)</t>
  </si>
  <si>
    <t>Įvairios kitos veiklos sąnaudos (REZERVAS)</t>
  </si>
  <si>
    <t>Materialaus ilgalaikio turto nusidėvėjimas (+likutinės vertės nurašymas)</t>
  </si>
  <si>
    <t>2025.11.12</t>
  </si>
  <si>
    <t>2026 m. asociacijos LINAVA biudžetas (tęsinys)</t>
  </si>
  <si>
    <t>2026 m. Biudžeto projektas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</si>
</sst>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-* #,##0\ _L_t_-;\-* #,##0\ _L_t_-;_-* &quot;-&quot;\ _L_t_-;_-@_-"/>
    <numFmt numFmtId="166" formatCode="_-* #,##0\ _L_t_-;\-* #,##0\ _L_t_-;_-* &quot;-&quot;??\ _L_t_-;_-@_-"/>
    <numFmt numFmtId="167" formatCode="#0.00"/>
    <numFmt numFmtId="168" formatCode="####\ ###\ ##0.00"/>
    <numFmt numFmtId="169" formatCode="0.0000"/>
  </numFmts>
  <fonts count="7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mbria"/>
      <family val="1"/>
      <charset val="186"/>
    </font>
    <font>
      <sz val="8"/>
      <color indexed="8"/>
      <name val="Arial"/>
      <family val="2"/>
      <charset val="186"/>
    </font>
    <font>
      <sz val="10"/>
      <name val="Cambria"/>
      <family val="1"/>
      <charset val="186"/>
    </font>
    <font>
      <b/>
      <sz val="10"/>
      <name val="Cambria"/>
      <family val="1"/>
      <charset val="186"/>
    </font>
    <font>
      <sz val="10"/>
      <color theme="1"/>
      <name val="Cambria"/>
      <family val="1"/>
      <charset val="186"/>
    </font>
    <font>
      <b/>
      <sz val="7"/>
      <color rgb="FFFF0000"/>
      <name val="Cambria"/>
      <family val="1"/>
      <charset val="186"/>
    </font>
    <font>
      <b/>
      <sz val="11"/>
      <color rgb="FFFF0000"/>
      <name val="Cambria"/>
      <family val="1"/>
      <charset val="186"/>
    </font>
    <font>
      <b/>
      <sz val="7"/>
      <name val="Cambria"/>
      <family val="1"/>
      <charset val="186"/>
    </font>
    <font>
      <b/>
      <sz val="11"/>
      <name val="Cambria"/>
      <family val="1"/>
      <charset val="186"/>
    </font>
    <font>
      <sz val="7"/>
      <name val="Cambria"/>
      <family val="1"/>
      <charset val="186"/>
    </font>
    <font>
      <i/>
      <sz val="7"/>
      <name val="Cambria"/>
      <family val="1"/>
      <charset val="186"/>
    </font>
    <font>
      <i/>
      <sz val="11"/>
      <name val="Cambria"/>
      <family val="1"/>
      <charset val="186"/>
    </font>
    <font>
      <sz val="11"/>
      <name val="Cambria"/>
      <family val="1"/>
      <charset val="186"/>
    </font>
    <font>
      <b/>
      <i/>
      <sz val="11"/>
      <name val="Cambria"/>
      <family val="1"/>
      <charset val="186"/>
    </font>
    <font>
      <i/>
      <sz val="11"/>
      <color theme="1"/>
      <name val="Cambria"/>
      <family val="1"/>
      <charset val="186"/>
    </font>
    <font>
      <sz val="11"/>
      <color indexed="10"/>
      <name val="Cambria"/>
      <family val="1"/>
      <charset val="186"/>
    </font>
    <font>
      <sz val="7"/>
      <color theme="1"/>
      <name val="Cambria"/>
      <family val="1"/>
      <charset val="186"/>
    </font>
    <font>
      <b/>
      <sz val="11"/>
      <color theme="1"/>
      <name val="Cambria"/>
      <family val="1"/>
    </font>
    <font>
      <b/>
      <sz val="7"/>
      <color theme="1"/>
      <name val="Cambria"/>
      <family val="1"/>
      <charset val="186"/>
    </font>
    <font>
      <b/>
      <sz val="11"/>
      <color theme="1"/>
      <name val="Cambria"/>
      <family val="1"/>
      <charset val="186"/>
    </font>
    <font>
      <sz val="9"/>
      <name val="Cambria"/>
      <family val="1"/>
      <charset val="186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  <font>
      <u/>
      <sz val="11"/>
      <color theme="10"/>
      <name val="Calibri"/>
      <family val="2"/>
      <charset val="186"/>
      <scheme val="minor"/>
    </font>
    <font>
      <u/>
      <sz val="11"/>
      <color theme="10"/>
      <name val="Cambria"/>
      <family val="1"/>
      <charset val="186"/>
    </font>
    <font>
      <sz val="11"/>
      <color theme="1"/>
      <name val="Cambria"/>
      <family val="1"/>
    </font>
    <font>
      <sz val="11"/>
      <color theme="1" tint="4.9989318521683403E-2"/>
      <name val="Cambria"/>
      <family val="1"/>
      <charset val="186"/>
    </font>
    <font>
      <sz val="11"/>
      <color rgb="FFFF0000"/>
      <name val="Cambria"/>
      <family val="1"/>
      <charset val="186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color theme="1"/>
      <name val="Cambria"/>
      <family val="1"/>
    </font>
    <font>
      <b/>
      <sz val="11"/>
      <color rgb="FFFF0000"/>
      <name val="Cambria"/>
      <family val="1"/>
    </font>
    <font>
      <b/>
      <sz val="11"/>
      <name val="Cambria"/>
      <family val="1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7"/>
      <name val="Cambria"/>
      <family val="1"/>
    </font>
    <font>
      <b/>
      <i/>
      <sz val="11"/>
      <name val="Cambria"/>
      <family val="1"/>
    </font>
    <font>
      <sz val="8"/>
      <color rgb="FF000000"/>
      <name val="Arial"/>
      <family val="2"/>
      <charset val="186"/>
    </font>
    <font>
      <b/>
      <sz val="11"/>
      <color rgb="FFEE0000"/>
      <name val="Cambria"/>
      <family val="1"/>
    </font>
    <font>
      <b/>
      <sz val="12"/>
      <color theme="1"/>
      <name val="Cambria"/>
      <family val="1"/>
    </font>
    <font>
      <sz val="11"/>
      <name val="Cambria"/>
      <family val="1"/>
    </font>
    <font>
      <b/>
      <i/>
      <sz val="11"/>
      <color theme="1"/>
      <name val="Cambria"/>
      <family val="1"/>
      <charset val="186"/>
    </font>
    <font>
      <b/>
      <i/>
      <sz val="11"/>
      <color theme="3"/>
      <name val="Cambria"/>
      <family val="1"/>
      <charset val="186"/>
    </font>
    <font>
      <sz val="11"/>
      <color theme="0" tint="-0.249977111117893"/>
      <name val="Cambria"/>
      <family val="1"/>
      <charset val="186"/>
    </font>
    <font>
      <b/>
      <sz val="11"/>
      <color theme="3"/>
      <name val="Cambria"/>
      <family val="1"/>
      <charset val="186"/>
    </font>
    <font>
      <b/>
      <sz val="11"/>
      <color theme="0" tint="-0.249977111117893"/>
      <name val="Cambria"/>
      <family val="1"/>
      <charset val="186"/>
    </font>
    <font>
      <b/>
      <i/>
      <sz val="11"/>
      <color rgb="FFFF0000"/>
      <name val="Cambria"/>
      <family val="1"/>
      <charset val="186"/>
    </font>
    <font>
      <b/>
      <sz val="8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7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C0C0C0"/>
      </top>
      <bottom/>
      <diagonal/>
    </border>
    <border>
      <left/>
      <right/>
      <top style="thin">
        <color rgb="FF000000"/>
      </top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0">
    <xf numFmtId="0" fontId="0" fillId="0" borderId="0"/>
    <xf numFmtId="164" fontId="1" fillId="0" borderId="0" applyFont="0" applyFill="0" applyBorder="0" applyAlignment="0" applyProtection="0"/>
    <xf numFmtId="0" fontId="2" fillId="13" borderId="0" applyNumberFormat="0" applyBorder="0" applyAlignment="0" applyProtection="0"/>
    <xf numFmtId="0" fontId="4" fillId="0" borderId="0" applyNumberFormat="0" applyFill="0" applyBorder="0" applyProtection="0">
      <alignment horizontal="left" wrapText="1"/>
    </xf>
    <xf numFmtId="0" fontId="26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 wrapText="1"/>
    </xf>
    <xf numFmtId="0" fontId="4" fillId="0" borderId="0" applyNumberFormat="0" applyFill="0" applyBorder="0" applyProtection="0">
      <alignment horizontal="left" wrapText="1"/>
    </xf>
    <xf numFmtId="0" fontId="33" fillId="0" borderId="0"/>
    <xf numFmtId="0" fontId="38" fillId="0" borderId="0" applyNumberFormat="0" applyFill="0" applyBorder="0" applyAlignment="0" applyProtection="0"/>
    <xf numFmtId="0" fontId="39" fillId="0" borderId="1" applyNumberFormat="0" applyFill="0" applyAlignment="0" applyProtection="0"/>
    <xf numFmtId="0" fontId="40" fillId="0" borderId="2" applyNumberFormat="0" applyFill="0" applyAlignment="0" applyProtection="0"/>
    <xf numFmtId="0" fontId="41" fillId="0" borderId="3" applyNumberFormat="0" applyFill="0" applyAlignment="0" applyProtection="0"/>
    <xf numFmtId="0" fontId="41" fillId="0" borderId="0" applyNumberFormat="0" applyFill="0" applyBorder="0" applyAlignment="0" applyProtection="0"/>
    <xf numFmtId="0" fontId="42" fillId="2" borderId="0" applyNumberFormat="0" applyBorder="0" applyAlignment="0" applyProtection="0"/>
    <xf numFmtId="0" fontId="43" fillId="3" borderId="0" applyNumberFormat="0" applyBorder="0" applyAlignment="0" applyProtection="0"/>
    <xf numFmtId="0" fontId="44" fillId="4" borderId="0" applyNumberFormat="0" applyBorder="0" applyAlignment="0" applyProtection="0"/>
    <xf numFmtId="0" fontId="45" fillId="5" borderId="4" applyNumberFormat="0" applyAlignment="0" applyProtection="0"/>
    <xf numFmtId="0" fontId="46" fillId="6" borderId="5" applyNumberFormat="0" applyAlignment="0" applyProtection="0"/>
    <xf numFmtId="0" fontId="47" fillId="6" borderId="4" applyNumberFormat="0" applyAlignment="0" applyProtection="0"/>
    <xf numFmtId="0" fontId="48" fillId="0" borderId="6" applyNumberFormat="0" applyFill="0" applyAlignment="0" applyProtection="0"/>
    <xf numFmtId="0" fontId="49" fillId="7" borderId="7" applyNumberFormat="0" applyAlignment="0" applyProtection="0"/>
    <xf numFmtId="0" fontId="50" fillId="0" borderId="0" applyNumberFormat="0" applyFill="0" applyBorder="0" applyAlignment="0" applyProtection="0"/>
    <xf numFmtId="0" fontId="33" fillId="8" borderId="8" applyNumberFormat="0" applyFont="0" applyAlignment="0" applyProtection="0"/>
    <xf numFmtId="0" fontId="51" fillId="0" borderId="0" applyNumberFormat="0" applyFill="0" applyBorder="0" applyAlignment="0" applyProtection="0"/>
    <xf numFmtId="0" fontId="52" fillId="0" borderId="9" applyNumberFormat="0" applyFill="0" applyAlignment="0" applyProtection="0"/>
    <xf numFmtId="0" fontId="34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11" borderId="0" applyNumberFormat="0" applyBorder="0" applyAlignment="0" applyProtection="0"/>
    <xf numFmtId="0" fontId="33" fillId="12" borderId="0" applyNumberFormat="0" applyBorder="0" applyAlignment="0" applyProtection="0"/>
    <xf numFmtId="0" fontId="34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33" fillId="16" borderId="0" applyNumberFormat="0" applyBorder="0" applyAlignment="0" applyProtection="0"/>
    <xf numFmtId="0" fontId="34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33" fillId="20" borderId="0" applyNumberFormat="0" applyBorder="0" applyAlignment="0" applyProtection="0"/>
    <xf numFmtId="0" fontId="34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33" fillId="24" borderId="0" applyNumberFormat="0" applyBorder="0" applyAlignment="0" applyProtection="0"/>
    <xf numFmtId="0" fontId="34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33" fillId="28" borderId="0" applyNumberFormat="0" applyBorder="0" applyAlignment="0" applyProtection="0"/>
    <xf numFmtId="0" fontId="34" fillId="29" borderId="0" applyNumberFormat="0" applyBorder="0" applyAlignment="0" applyProtection="0"/>
    <xf numFmtId="0" fontId="33" fillId="30" borderId="0" applyNumberFormat="0" applyBorder="0" applyAlignment="0" applyProtection="0"/>
    <xf numFmtId="0" fontId="33" fillId="31" borderId="0" applyNumberFormat="0" applyBorder="0" applyAlignment="0" applyProtection="0"/>
    <xf numFmtId="0" fontId="33" fillId="32" borderId="0" applyNumberFormat="0" applyBorder="0" applyAlignment="0" applyProtection="0"/>
    <xf numFmtId="43" fontId="33" fillId="0" borderId="0" applyFont="0" applyFill="0" applyBorder="0" applyAlignment="0" applyProtection="0"/>
  </cellStyleXfs>
  <cellXfs count="531">
    <xf numFmtId="0" fontId="0" fillId="0" borderId="0" xfId="0"/>
    <xf numFmtId="0" fontId="3" fillId="33" borderId="0" xfId="0" applyFont="1" applyFill="1" applyAlignment="1">
      <alignment horizontal="center"/>
    </xf>
    <xf numFmtId="166" fontId="11" fillId="34" borderId="11" xfId="1" applyNumberFormat="1" applyFont="1" applyFill="1" applyBorder="1" applyAlignment="1">
      <alignment horizontal="center" vertical="center"/>
    </xf>
    <xf numFmtId="165" fontId="12" fillId="33" borderId="14" xfId="3" applyNumberFormat="1" applyFont="1" applyFill="1" applyBorder="1" applyAlignment="1">
      <alignment vertical="center"/>
    </xf>
    <xf numFmtId="166" fontId="3" fillId="33" borderId="15" xfId="1" applyNumberFormat="1" applyFont="1" applyFill="1" applyBorder="1" applyAlignment="1">
      <alignment horizontal="left" vertical="center"/>
    </xf>
    <xf numFmtId="166" fontId="3" fillId="33" borderId="15" xfId="1" applyNumberFormat="1" applyFont="1" applyFill="1" applyBorder="1" applyAlignment="1">
      <alignment horizontal="center" vertical="center"/>
    </xf>
    <xf numFmtId="165" fontId="13" fillId="33" borderId="16" xfId="3" applyNumberFormat="1" applyFont="1" applyFill="1" applyBorder="1" applyAlignment="1">
      <alignment vertical="center"/>
    </xf>
    <xf numFmtId="166" fontId="14" fillId="33" borderId="17" xfId="1" applyNumberFormat="1" applyFont="1" applyFill="1" applyBorder="1" applyAlignment="1">
      <alignment horizontal="left" vertical="center"/>
    </xf>
    <xf numFmtId="165" fontId="12" fillId="33" borderId="16" xfId="3" applyNumberFormat="1" applyFont="1" applyFill="1" applyBorder="1" applyAlignment="1">
      <alignment vertical="center"/>
    </xf>
    <xf numFmtId="166" fontId="15" fillId="33" borderId="17" xfId="1" applyNumberFormat="1" applyFont="1" applyFill="1" applyBorder="1" applyAlignment="1">
      <alignment horizontal="left"/>
    </xf>
    <xf numFmtId="166" fontId="15" fillId="33" borderId="17" xfId="1" applyNumberFormat="1" applyFont="1" applyFill="1" applyBorder="1" applyAlignment="1">
      <alignment horizontal="left" vertical="center"/>
    </xf>
    <xf numFmtId="165" fontId="12" fillId="33" borderId="16" xfId="3" quotePrefix="1" applyNumberFormat="1" applyFont="1" applyFill="1" applyBorder="1" applyAlignment="1">
      <alignment vertical="center"/>
    </xf>
    <xf numFmtId="166" fontId="15" fillId="33" borderId="17" xfId="1" applyNumberFormat="1" applyFont="1" applyFill="1" applyBorder="1" applyAlignment="1">
      <alignment horizontal="center" vertical="center"/>
    </xf>
    <xf numFmtId="166" fontId="15" fillId="33" borderId="17" xfId="1" applyNumberFormat="1" applyFont="1" applyFill="1" applyBorder="1" applyAlignment="1">
      <alignment horizontal="center"/>
    </xf>
    <xf numFmtId="165" fontId="10" fillId="33" borderId="16" xfId="3" applyNumberFormat="1" applyFont="1" applyFill="1" applyBorder="1" applyAlignment="1">
      <alignment vertical="center"/>
    </xf>
    <xf numFmtId="166" fontId="16" fillId="33" borderId="17" xfId="1" applyNumberFormat="1" applyFont="1" applyFill="1" applyBorder="1" applyAlignment="1">
      <alignment horizontal="left"/>
    </xf>
    <xf numFmtId="166" fontId="11" fillId="33" borderId="17" xfId="1" applyNumberFormat="1" applyFont="1" applyFill="1" applyBorder="1" applyAlignment="1">
      <alignment horizontal="center"/>
    </xf>
    <xf numFmtId="166" fontId="17" fillId="33" borderId="17" xfId="1" applyNumberFormat="1" applyFont="1" applyFill="1" applyBorder="1" applyAlignment="1">
      <alignment horizontal="left" vertical="center"/>
    </xf>
    <xf numFmtId="166" fontId="14" fillId="33" borderId="17" xfId="1" applyNumberFormat="1" applyFont="1" applyFill="1" applyBorder="1" applyAlignment="1">
      <alignment horizontal="left"/>
    </xf>
    <xf numFmtId="166" fontId="11" fillId="34" borderId="17" xfId="1" applyNumberFormat="1" applyFont="1" applyFill="1" applyBorder="1" applyAlignment="1">
      <alignment horizontal="center" vertical="center"/>
    </xf>
    <xf numFmtId="166" fontId="17" fillId="33" borderId="17" xfId="1" applyNumberFormat="1" applyFont="1" applyFill="1" applyBorder="1" applyAlignment="1">
      <alignment horizontal="left"/>
    </xf>
    <xf numFmtId="166" fontId="3" fillId="33" borderId="17" xfId="1" applyNumberFormat="1" applyFont="1" applyFill="1" applyBorder="1" applyAlignment="1">
      <alignment horizontal="center"/>
    </xf>
    <xf numFmtId="166" fontId="16" fillId="33" borderId="17" xfId="1" applyNumberFormat="1" applyFont="1" applyFill="1" applyBorder="1" applyAlignment="1">
      <alignment horizontal="left" vertical="center"/>
    </xf>
    <xf numFmtId="166" fontId="11" fillId="33" borderId="17" xfId="1" applyNumberFormat="1" applyFont="1" applyFill="1" applyBorder="1" applyAlignment="1">
      <alignment horizontal="center" vertical="center"/>
    </xf>
    <xf numFmtId="166" fontId="14" fillId="33" borderId="17" xfId="2" applyNumberFormat="1" applyFont="1" applyFill="1" applyBorder="1" applyAlignment="1">
      <alignment horizontal="left"/>
    </xf>
    <xf numFmtId="166" fontId="15" fillId="33" borderId="17" xfId="2" applyNumberFormat="1" applyFont="1" applyFill="1" applyBorder="1" applyAlignment="1">
      <alignment horizontal="left"/>
    </xf>
    <xf numFmtId="166" fontId="3" fillId="33" borderId="17" xfId="1" applyNumberFormat="1" applyFont="1" applyFill="1" applyBorder="1" applyAlignment="1">
      <alignment horizontal="center" vertical="center"/>
    </xf>
    <xf numFmtId="166" fontId="15" fillId="33" borderId="17" xfId="2" applyNumberFormat="1" applyFont="1" applyFill="1" applyBorder="1" applyAlignment="1">
      <alignment horizontal="center"/>
    </xf>
    <xf numFmtId="165" fontId="19" fillId="33" borderId="16" xfId="0" applyNumberFormat="1" applyFont="1" applyFill="1" applyBorder="1" applyAlignment="1">
      <alignment vertical="center"/>
    </xf>
    <xf numFmtId="166" fontId="20" fillId="33" borderId="17" xfId="1" applyNumberFormat="1" applyFont="1" applyFill="1" applyBorder="1" applyAlignment="1">
      <alignment horizontal="center" vertical="center"/>
    </xf>
    <xf numFmtId="165" fontId="15" fillId="33" borderId="17" xfId="3" applyNumberFormat="1" applyFont="1" applyFill="1" applyBorder="1" applyAlignment="1">
      <alignment horizontal="left" vertical="center"/>
    </xf>
    <xf numFmtId="166" fontId="11" fillId="33" borderId="17" xfId="1" applyNumberFormat="1" applyFont="1" applyFill="1" applyBorder="1" applyAlignment="1">
      <alignment horizontal="left" vertical="center"/>
    </xf>
    <xf numFmtId="165" fontId="21" fillId="34" borderId="16" xfId="0" applyNumberFormat="1" applyFont="1" applyFill="1" applyBorder="1" applyAlignment="1">
      <alignment vertical="center"/>
    </xf>
    <xf numFmtId="165" fontId="22" fillId="34" borderId="17" xfId="0" applyNumberFormat="1" applyFont="1" applyFill="1" applyBorder="1" applyAlignment="1">
      <alignment horizontal="left" vertical="center"/>
    </xf>
    <xf numFmtId="165" fontId="12" fillId="34" borderId="16" xfId="3" applyNumberFormat="1" applyFont="1" applyFill="1" applyBorder="1" applyAlignment="1">
      <alignment vertical="center"/>
    </xf>
    <xf numFmtId="166" fontId="15" fillId="34" borderId="17" xfId="1" applyNumberFormat="1" applyFont="1" applyFill="1" applyBorder="1" applyAlignment="1">
      <alignment horizontal="left"/>
    </xf>
    <xf numFmtId="166" fontId="15" fillId="34" borderId="17" xfId="1" applyNumberFormat="1" applyFont="1" applyFill="1" applyBorder="1" applyAlignment="1">
      <alignment horizontal="center" vertical="center"/>
    </xf>
    <xf numFmtId="165" fontId="12" fillId="33" borderId="18" xfId="3" applyNumberFormat="1" applyFont="1" applyFill="1" applyBorder="1" applyAlignment="1">
      <alignment vertical="center"/>
    </xf>
    <xf numFmtId="166" fontId="15" fillId="33" borderId="19" xfId="1" applyNumberFormat="1" applyFont="1" applyFill="1" applyBorder="1" applyAlignment="1">
      <alignment horizontal="left"/>
    </xf>
    <xf numFmtId="166" fontId="15" fillId="33" borderId="19" xfId="1" applyNumberFormat="1" applyFont="1" applyFill="1" applyBorder="1" applyAlignment="1">
      <alignment horizontal="center"/>
    </xf>
    <xf numFmtId="165" fontId="10" fillId="33" borderId="0" xfId="0" applyNumberFormat="1" applyFont="1" applyFill="1" applyAlignment="1">
      <alignment vertical="center"/>
    </xf>
    <xf numFmtId="165" fontId="23" fillId="33" borderId="0" xfId="0" applyNumberFormat="1" applyFont="1" applyFill="1" applyAlignment="1">
      <alignment horizontal="left" vertical="center" wrapText="1"/>
    </xf>
    <xf numFmtId="166" fontId="11" fillId="33" borderId="0" xfId="1" applyNumberFormat="1" applyFont="1" applyFill="1" applyBorder="1" applyAlignment="1">
      <alignment horizontal="center" vertical="center"/>
    </xf>
    <xf numFmtId="165" fontId="3" fillId="33" borderId="0" xfId="0" applyNumberFormat="1" applyFont="1" applyFill="1" applyAlignment="1">
      <alignment vertical="center"/>
    </xf>
    <xf numFmtId="0" fontId="3" fillId="33" borderId="0" xfId="0" applyFont="1" applyFill="1" applyAlignment="1">
      <alignment horizontal="left"/>
    </xf>
    <xf numFmtId="0" fontId="3" fillId="33" borderId="0" xfId="0" applyFont="1" applyFill="1"/>
    <xf numFmtId="166" fontId="15" fillId="33" borderId="17" xfId="4" applyNumberFormat="1" applyFont="1" applyFill="1" applyBorder="1" applyAlignment="1">
      <alignment horizontal="center" vertical="center"/>
    </xf>
    <xf numFmtId="166" fontId="27" fillId="33" borderId="17" xfId="4" applyNumberFormat="1" applyFont="1" applyFill="1" applyBorder="1" applyAlignment="1">
      <alignment horizontal="center" vertical="center"/>
    </xf>
    <xf numFmtId="166" fontId="3" fillId="34" borderId="17" xfId="1" applyNumberFormat="1" applyFont="1" applyFill="1" applyBorder="1" applyAlignment="1">
      <alignment horizontal="center" vertical="center"/>
    </xf>
    <xf numFmtId="166" fontId="3" fillId="33" borderId="0" xfId="1" applyNumberFormat="1" applyFont="1" applyFill="1" applyAlignment="1">
      <alignment horizontal="center"/>
    </xf>
    <xf numFmtId="166" fontId="22" fillId="33" borderId="17" xfId="1" applyNumberFormat="1" applyFont="1" applyFill="1" applyBorder="1" applyAlignment="1">
      <alignment horizontal="center" vertical="center"/>
    </xf>
    <xf numFmtId="166" fontId="28" fillId="33" borderId="17" xfId="1" applyNumberFormat="1" applyFont="1" applyFill="1" applyBorder="1" applyAlignment="1">
      <alignment horizontal="center" vertical="center"/>
    </xf>
    <xf numFmtId="166" fontId="22" fillId="34" borderId="17" xfId="1" applyNumberFormat="1" applyFont="1" applyFill="1" applyBorder="1" applyAlignment="1">
      <alignment horizontal="center" vertical="center"/>
    </xf>
    <xf numFmtId="166" fontId="29" fillId="33" borderId="0" xfId="1" applyNumberFormat="1" applyFont="1" applyFill="1" applyAlignment="1">
      <alignment horizontal="center"/>
    </xf>
    <xf numFmtId="165" fontId="15" fillId="33" borderId="0" xfId="0" applyNumberFormat="1" applyFont="1" applyFill="1" applyAlignment="1">
      <alignment horizontal="center" vertical="center" wrapText="1"/>
    </xf>
    <xf numFmtId="166" fontId="11" fillId="34" borderId="20" xfId="1" applyNumberFormat="1" applyFont="1" applyFill="1" applyBorder="1" applyAlignment="1">
      <alignment horizontal="center" vertical="center"/>
    </xf>
    <xf numFmtId="166" fontId="3" fillId="33" borderId="22" xfId="1" applyNumberFormat="1" applyFont="1" applyFill="1" applyBorder="1" applyAlignment="1">
      <alignment horizontal="center" vertical="center"/>
    </xf>
    <xf numFmtId="166" fontId="15" fillId="33" borderId="23" xfId="1" applyNumberFormat="1" applyFont="1" applyFill="1" applyBorder="1" applyAlignment="1">
      <alignment horizontal="center" vertical="center"/>
    </xf>
    <xf numFmtId="166" fontId="3" fillId="33" borderId="23" xfId="1" applyNumberFormat="1" applyFont="1" applyFill="1" applyBorder="1" applyAlignment="1">
      <alignment horizontal="center" vertical="center"/>
    </xf>
    <xf numFmtId="166" fontId="22" fillId="33" borderId="23" xfId="1" applyNumberFormat="1" applyFont="1" applyFill="1" applyBorder="1" applyAlignment="1">
      <alignment horizontal="center" vertical="center"/>
    </xf>
    <xf numFmtId="166" fontId="11" fillId="33" borderId="23" xfId="1" applyNumberFormat="1" applyFont="1" applyFill="1" applyBorder="1" applyAlignment="1">
      <alignment horizontal="center"/>
    </xf>
    <xf numFmtId="166" fontId="11" fillId="34" borderId="23" xfId="1" applyNumberFormat="1" applyFont="1" applyFill="1" applyBorder="1" applyAlignment="1">
      <alignment horizontal="center" vertical="center"/>
    </xf>
    <xf numFmtId="166" fontId="11" fillId="33" borderId="23" xfId="1" applyNumberFormat="1" applyFont="1" applyFill="1" applyBorder="1" applyAlignment="1">
      <alignment horizontal="center" vertical="center"/>
    </xf>
    <xf numFmtId="166" fontId="22" fillId="34" borderId="23" xfId="1" applyNumberFormat="1" applyFont="1" applyFill="1" applyBorder="1" applyAlignment="1">
      <alignment horizontal="center" vertical="center"/>
    </xf>
    <xf numFmtId="3" fontId="11" fillId="33" borderId="0" xfId="0" applyNumberFormat="1" applyFont="1" applyFill="1" applyAlignment="1">
      <alignment horizontal="center" vertical="center" wrapText="1"/>
    </xf>
    <xf numFmtId="165" fontId="15" fillId="33" borderId="0" xfId="0" applyNumberFormat="1" applyFont="1" applyFill="1" applyAlignment="1">
      <alignment horizontal="left" vertical="center" wrapText="1"/>
    </xf>
    <xf numFmtId="166" fontId="29" fillId="33" borderId="0" xfId="1" applyNumberFormat="1" applyFont="1" applyFill="1"/>
    <xf numFmtId="166" fontId="3" fillId="33" borderId="0" xfId="1" applyNumberFormat="1" applyFont="1" applyFill="1"/>
    <xf numFmtId="166" fontId="15" fillId="0" borderId="17" xfId="1" applyNumberFormat="1" applyFont="1" applyFill="1" applyBorder="1" applyAlignment="1">
      <alignment horizontal="center" vertical="center"/>
    </xf>
    <xf numFmtId="166" fontId="3" fillId="0" borderId="17" xfId="1" applyNumberFormat="1" applyFont="1" applyFill="1" applyBorder="1" applyAlignment="1">
      <alignment horizontal="center"/>
    </xf>
    <xf numFmtId="166" fontId="15" fillId="0" borderId="17" xfId="1" applyNumberFormat="1" applyFont="1" applyFill="1" applyBorder="1" applyAlignment="1">
      <alignment horizontal="center"/>
    </xf>
    <xf numFmtId="166" fontId="15" fillId="0" borderId="17" xfId="2" applyNumberFormat="1" applyFont="1" applyFill="1" applyBorder="1" applyAlignment="1">
      <alignment horizontal="center"/>
    </xf>
    <xf numFmtId="166" fontId="11" fillId="0" borderId="17" xfId="1" applyNumberFormat="1" applyFont="1" applyFill="1" applyBorder="1" applyAlignment="1">
      <alignment horizontal="center" vertical="center"/>
    </xf>
    <xf numFmtId="166" fontId="11" fillId="0" borderId="17" xfId="1" applyNumberFormat="1" applyFont="1" applyFill="1" applyBorder="1" applyAlignment="1">
      <alignment horizontal="center"/>
    </xf>
    <xf numFmtId="166" fontId="15" fillId="33" borderId="23" xfId="1" applyNumberFormat="1" applyFont="1" applyFill="1" applyBorder="1" applyAlignment="1">
      <alignment horizontal="center"/>
    </xf>
    <xf numFmtId="166" fontId="11" fillId="0" borderId="23" xfId="1" applyNumberFormat="1" applyFont="1" applyFill="1" applyBorder="1" applyAlignment="1">
      <alignment horizontal="center" vertical="center"/>
    </xf>
    <xf numFmtId="0" fontId="28" fillId="0" borderId="0" xfId="0" applyFont="1"/>
    <xf numFmtId="3" fontId="35" fillId="33" borderId="27" xfId="0" applyNumberFormat="1" applyFont="1" applyFill="1" applyBorder="1" applyAlignment="1">
      <alignment horizontal="center" vertical="center" wrapText="1"/>
    </xf>
    <xf numFmtId="9" fontId="28" fillId="0" borderId="17" xfId="0" applyNumberFormat="1" applyFont="1" applyBorder="1"/>
    <xf numFmtId="0" fontId="28" fillId="0" borderId="17" xfId="0" applyFont="1" applyBorder="1"/>
    <xf numFmtId="166" fontId="3" fillId="0" borderId="17" xfId="1" applyNumberFormat="1" applyFont="1" applyFill="1" applyBorder="1" applyAlignment="1">
      <alignment horizontal="center" vertical="center"/>
    </xf>
    <xf numFmtId="166" fontId="20" fillId="0" borderId="17" xfId="1" applyNumberFormat="1" applyFont="1" applyFill="1" applyBorder="1" applyAlignment="1">
      <alignment horizontal="center" vertical="center"/>
    </xf>
    <xf numFmtId="9" fontId="36" fillId="0" borderId="13" xfId="0" applyNumberFormat="1" applyFont="1" applyBorder="1"/>
    <xf numFmtId="9" fontId="28" fillId="0" borderId="15" xfId="0" applyNumberFormat="1" applyFont="1" applyBorder="1"/>
    <xf numFmtId="9" fontId="37" fillId="34" borderId="11" xfId="0" applyNumberFormat="1" applyFont="1" applyFill="1" applyBorder="1"/>
    <xf numFmtId="0" fontId="22" fillId="33" borderId="0" xfId="0" applyFont="1" applyFill="1"/>
    <xf numFmtId="0" fontId="9" fillId="33" borderId="0" xfId="0" applyFont="1" applyFill="1"/>
    <xf numFmtId="0" fontId="30" fillId="33" borderId="0" xfId="0" applyFont="1" applyFill="1"/>
    <xf numFmtId="3" fontId="28" fillId="0" borderId="0" xfId="0" applyNumberFormat="1" applyFont="1" applyAlignment="1">
      <alignment horizontal="center"/>
    </xf>
    <xf numFmtId="0" fontId="0" fillId="0" borderId="29" xfId="0" applyBorder="1"/>
    <xf numFmtId="0" fontId="0" fillId="0" borderId="30" xfId="0" applyBorder="1"/>
    <xf numFmtId="0" fontId="0" fillId="0" borderId="16" xfId="0" applyBorder="1"/>
    <xf numFmtId="0" fontId="0" fillId="0" borderId="17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36" borderId="16" xfId="0" applyFill="1" applyBorder="1"/>
    <xf numFmtId="2" fontId="0" fillId="0" borderId="29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2" fontId="0" fillId="0" borderId="33" xfId="0" applyNumberForma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4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/>
    </xf>
    <xf numFmtId="2" fontId="0" fillId="0" borderId="29" xfId="0" applyNumberFormat="1" applyBorder="1" applyAlignment="1">
      <alignment horizontal="center"/>
    </xf>
    <xf numFmtId="2" fontId="0" fillId="0" borderId="30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2" fontId="0" fillId="0" borderId="17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2" fontId="0" fillId="0" borderId="33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27" xfId="0" applyNumberFormat="1" applyBorder="1" applyAlignment="1">
      <alignment horizontal="center"/>
    </xf>
    <xf numFmtId="0" fontId="53" fillId="35" borderId="10" xfId="0" applyFont="1" applyFill="1" applyBorder="1" applyAlignment="1">
      <alignment horizontal="center"/>
    </xf>
    <xf numFmtId="0" fontId="0" fillId="0" borderId="41" xfId="0" applyBorder="1"/>
    <xf numFmtId="0" fontId="0" fillId="0" borderId="42" xfId="0" applyBorder="1"/>
    <xf numFmtId="0" fontId="53" fillId="35" borderId="33" xfId="0" applyFont="1" applyFill="1" applyBorder="1" applyAlignment="1">
      <alignment horizontal="center" vertical="distributed"/>
    </xf>
    <xf numFmtId="0" fontId="53" fillId="35" borderId="33" xfId="0" applyFont="1" applyFill="1" applyBorder="1" applyAlignment="1">
      <alignment horizontal="center"/>
    </xf>
    <xf numFmtId="0" fontId="53" fillId="35" borderId="34" xfId="0" applyFont="1" applyFill="1" applyBorder="1" applyAlignment="1">
      <alignment horizontal="center"/>
    </xf>
    <xf numFmtId="0" fontId="53" fillId="36" borderId="40" xfId="0" applyFont="1" applyFill="1" applyBorder="1"/>
    <xf numFmtId="0" fontId="53" fillId="36" borderId="41" xfId="0" applyFont="1" applyFill="1" applyBorder="1"/>
    <xf numFmtId="0" fontId="55" fillId="0" borderId="16" xfId="0" applyFont="1" applyBorder="1" applyAlignment="1">
      <alignment horizontal="center"/>
    </xf>
    <xf numFmtId="0" fontId="56" fillId="36" borderId="16" xfId="0" applyFont="1" applyFill="1" applyBorder="1" applyAlignment="1">
      <alignment horizontal="center"/>
    </xf>
    <xf numFmtId="1" fontId="56" fillId="36" borderId="17" xfId="0" applyNumberFormat="1" applyFont="1" applyFill="1" applyBorder="1" applyAlignment="1">
      <alignment horizontal="center" vertical="center"/>
    </xf>
    <xf numFmtId="1" fontId="55" fillId="0" borderId="17" xfId="0" applyNumberFormat="1" applyFont="1" applyBorder="1" applyAlignment="1">
      <alignment horizontal="center" vertical="center"/>
    </xf>
    <xf numFmtId="1" fontId="56" fillId="36" borderId="17" xfId="0" applyNumberFormat="1" applyFont="1" applyFill="1" applyBorder="1" applyAlignment="1">
      <alignment horizontal="center"/>
    </xf>
    <xf numFmtId="1" fontId="55" fillId="0" borderId="17" xfId="0" applyNumberFormat="1" applyFont="1" applyBorder="1" applyAlignment="1">
      <alignment horizontal="center"/>
    </xf>
    <xf numFmtId="0" fontId="55" fillId="0" borderId="17" xfId="0" applyFont="1" applyBorder="1" applyAlignment="1">
      <alignment horizontal="center"/>
    </xf>
    <xf numFmtId="0" fontId="55" fillId="0" borderId="33" xfId="0" applyFont="1" applyBorder="1" applyAlignment="1">
      <alignment horizontal="center"/>
    </xf>
    <xf numFmtId="0" fontId="56" fillId="35" borderId="25" xfId="0" applyFont="1" applyFill="1" applyBorder="1" applyAlignment="1">
      <alignment vertical="center"/>
    </xf>
    <xf numFmtId="0" fontId="56" fillId="36" borderId="28" xfId="0" applyFont="1" applyFill="1" applyBorder="1" applyAlignment="1">
      <alignment horizontal="center"/>
    </xf>
    <xf numFmtId="2" fontId="0" fillId="0" borderId="0" xfId="0" applyNumberFormat="1"/>
    <xf numFmtId="166" fontId="37" fillId="0" borderId="17" xfId="1" applyNumberFormat="1" applyFont="1" applyFill="1" applyBorder="1" applyAlignment="1">
      <alignment horizontal="center" vertical="center"/>
    </xf>
    <xf numFmtId="166" fontId="28" fillId="33" borderId="23" xfId="1" applyNumberFormat="1" applyFont="1" applyFill="1" applyBorder="1" applyAlignment="1">
      <alignment horizontal="center" vertical="center"/>
    </xf>
    <xf numFmtId="166" fontId="58" fillId="33" borderId="17" xfId="1" applyNumberFormat="1" applyFont="1" applyFill="1" applyBorder="1" applyAlignment="1">
      <alignment horizontal="left" vertical="center"/>
    </xf>
    <xf numFmtId="166" fontId="20" fillId="33" borderId="23" xfId="1" applyNumberFormat="1" applyFont="1" applyFill="1" applyBorder="1" applyAlignment="1">
      <alignment horizontal="center" vertical="center"/>
    </xf>
    <xf numFmtId="166" fontId="3" fillId="0" borderId="23" xfId="1" applyNumberFormat="1" applyFont="1" applyFill="1" applyBorder="1" applyAlignment="1">
      <alignment horizontal="center" vertical="center"/>
    </xf>
    <xf numFmtId="166" fontId="22" fillId="0" borderId="23" xfId="1" applyNumberFormat="1" applyFont="1" applyFill="1" applyBorder="1" applyAlignment="1">
      <alignment horizontal="center" vertical="center"/>
    </xf>
    <xf numFmtId="9" fontId="28" fillId="0" borderId="19" xfId="0" applyNumberFormat="1" applyFont="1" applyBorder="1"/>
    <xf numFmtId="166" fontId="11" fillId="0" borderId="0" xfId="1" applyNumberFormat="1" applyFont="1" applyFill="1" applyBorder="1" applyAlignment="1">
      <alignment horizontal="center" vertical="center"/>
    </xf>
    <xf numFmtId="0" fontId="53" fillId="36" borderId="10" xfId="0" applyFont="1" applyFill="1" applyBorder="1" applyAlignment="1">
      <alignment horizontal="center" vertical="distributed"/>
    </xf>
    <xf numFmtId="0" fontId="53" fillId="36" borderId="11" xfId="0" applyFont="1" applyFill="1" applyBorder="1" applyAlignment="1">
      <alignment horizontal="distributed" vertical="center"/>
    </xf>
    <xf numFmtId="0" fontId="53" fillId="36" borderId="11" xfId="0" applyFont="1" applyFill="1" applyBorder="1" applyAlignment="1">
      <alignment horizontal="center" vertical="distributed"/>
    </xf>
    <xf numFmtId="0" fontId="53" fillId="36" borderId="27" xfId="0" applyFont="1" applyFill="1" applyBorder="1" applyAlignment="1">
      <alignment horizontal="distributed" vertical="center"/>
    </xf>
    <xf numFmtId="0" fontId="53" fillId="36" borderId="27" xfId="0" applyFont="1" applyFill="1" applyBorder="1" applyAlignment="1">
      <alignment horizontal="center" vertical="distributed"/>
    </xf>
    <xf numFmtId="0" fontId="53" fillId="36" borderId="20" xfId="0" applyFont="1" applyFill="1" applyBorder="1" applyAlignment="1">
      <alignment horizontal="distributed" vertical="center"/>
    </xf>
    <xf numFmtId="2" fontId="0" fillId="0" borderId="20" xfId="0" applyNumberForma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2" fontId="0" fillId="0" borderId="28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9" fontId="20" fillId="0" borderId="17" xfId="0" applyNumberFormat="1" applyFont="1" applyBorder="1"/>
    <xf numFmtId="0" fontId="53" fillId="0" borderId="0" xfId="0" applyFont="1"/>
    <xf numFmtId="165" fontId="12" fillId="0" borderId="51" xfId="3" applyNumberFormat="1" applyFont="1" applyFill="1" applyBorder="1" applyAlignment="1">
      <alignment vertical="center"/>
    </xf>
    <xf numFmtId="166" fontId="15" fillId="0" borderId="23" xfId="1" applyNumberFormat="1" applyFont="1" applyFill="1" applyBorder="1" applyAlignment="1">
      <alignment horizontal="left"/>
    </xf>
    <xf numFmtId="166" fontId="3" fillId="33" borderId="23" xfId="1" applyNumberFormat="1" applyFont="1" applyFill="1" applyBorder="1" applyAlignment="1">
      <alignment horizontal="center"/>
    </xf>
    <xf numFmtId="166" fontId="15" fillId="33" borderId="23" xfId="2" applyNumberFormat="1" applyFont="1" applyFill="1" applyBorder="1" applyAlignment="1">
      <alignment horizontal="center"/>
    </xf>
    <xf numFmtId="3" fontId="35" fillId="33" borderId="52" xfId="0" applyNumberFormat="1" applyFont="1" applyFill="1" applyBorder="1" applyAlignment="1">
      <alignment horizontal="center" vertical="center" wrapText="1"/>
    </xf>
    <xf numFmtId="3" fontId="36" fillId="0" borderId="53" xfId="0" applyNumberFormat="1" applyFont="1" applyBorder="1"/>
    <xf numFmtId="3" fontId="37" fillId="34" borderId="52" xfId="0" applyNumberFormat="1" applyFont="1" applyFill="1" applyBorder="1"/>
    <xf numFmtId="3" fontId="28" fillId="0" borderId="54" xfId="0" applyNumberFormat="1" applyFont="1" applyBorder="1"/>
    <xf numFmtId="3" fontId="28" fillId="0" borderId="51" xfId="0" applyNumberFormat="1" applyFont="1" applyBorder="1"/>
    <xf numFmtId="3" fontId="20" fillId="0" borderId="51" xfId="0" applyNumberFormat="1" applyFont="1" applyBorder="1"/>
    <xf numFmtId="3" fontId="28" fillId="0" borderId="55" xfId="0" applyNumberFormat="1" applyFont="1" applyBorder="1"/>
    <xf numFmtId="166" fontId="37" fillId="34" borderId="25" xfId="1" applyNumberFormat="1" applyFont="1" applyFill="1" applyBorder="1" applyAlignment="1">
      <alignment horizontal="center" vertical="center"/>
    </xf>
    <xf numFmtId="166" fontId="15" fillId="33" borderId="41" xfId="1" applyNumberFormat="1" applyFont="1" applyFill="1" applyBorder="1" applyAlignment="1">
      <alignment horizontal="center" vertical="center"/>
    </xf>
    <xf numFmtId="166" fontId="15" fillId="33" borderId="41" xfId="1" applyNumberFormat="1" applyFont="1" applyFill="1" applyBorder="1" applyAlignment="1">
      <alignment horizontal="center"/>
    </xf>
    <xf numFmtId="166" fontId="11" fillId="34" borderId="41" xfId="1" applyNumberFormat="1" applyFont="1" applyFill="1" applyBorder="1" applyAlignment="1">
      <alignment horizontal="center" vertical="center"/>
    </xf>
    <xf numFmtId="166" fontId="37" fillId="34" borderId="52" xfId="1" applyNumberFormat="1" applyFont="1" applyFill="1" applyBorder="1" applyAlignment="1">
      <alignment horizontal="center" vertical="center"/>
    </xf>
    <xf numFmtId="166" fontId="37" fillId="0" borderId="57" xfId="1" applyNumberFormat="1" applyFont="1" applyFill="1" applyBorder="1" applyAlignment="1">
      <alignment horizontal="center" vertical="center"/>
    </xf>
    <xf numFmtId="166" fontId="37" fillId="0" borderId="41" xfId="1" applyNumberFormat="1" applyFont="1" applyFill="1" applyBorder="1" applyAlignment="1">
      <alignment horizontal="center" vertical="center"/>
    </xf>
    <xf numFmtId="166" fontId="37" fillId="34" borderId="41" xfId="1" applyNumberFormat="1" applyFont="1" applyFill="1" applyBorder="1" applyAlignment="1">
      <alignment horizontal="center" vertical="center"/>
    </xf>
    <xf numFmtId="166" fontId="37" fillId="34" borderId="42" xfId="1" applyNumberFormat="1" applyFont="1" applyFill="1" applyBorder="1" applyAlignment="1">
      <alignment horizontal="center" vertical="center"/>
    </xf>
    <xf numFmtId="1" fontId="56" fillId="36" borderId="29" xfId="0" applyNumberFormat="1" applyFont="1" applyFill="1" applyBorder="1" applyAlignment="1">
      <alignment horizontal="center" vertical="center"/>
    </xf>
    <xf numFmtId="166" fontId="17" fillId="0" borderId="17" xfId="1" applyNumberFormat="1" applyFont="1" applyFill="1" applyBorder="1" applyAlignment="1">
      <alignment horizontal="left"/>
    </xf>
    <xf numFmtId="165" fontId="12" fillId="0" borderId="16" xfId="3" applyNumberFormat="1" applyFont="1" applyFill="1" applyBorder="1" applyAlignment="1">
      <alignment vertical="center"/>
    </xf>
    <xf numFmtId="166" fontId="15" fillId="0" borderId="17" xfId="1" applyNumberFormat="1" applyFont="1" applyFill="1" applyBorder="1" applyAlignment="1">
      <alignment horizontal="left"/>
    </xf>
    <xf numFmtId="166" fontId="15" fillId="0" borderId="19" xfId="2" applyNumberFormat="1" applyFont="1" applyFill="1" applyBorder="1" applyAlignment="1">
      <alignment horizontal="center"/>
    </xf>
    <xf numFmtId="165" fontId="13" fillId="0" borderId="16" xfId="3" applyNumberFormat="1" applyFont="1" applyFill="1" applyBorder="1" applyAlignment="1">
      <alignment vertical="center"/>
    </xf>
    <xf numFmtId="166" fontId="14" fillId="0" borderId="17" xfId="1" applyNumberFormat="1" applyFont="1" applyFill="1" applyBorder="1" applyAlignment="1">
      <alignment horizontal="left"/>
    </xf>
    <xf numFmtId="166" fontId="22" fillId="0" borderId="17" xfId="1" applyNumberFormat="1" applyFont="1" applyFill="1" applyBorder="1" applyAlignment="1">
      <alignment horizontal="center" vertical="center"/>
    </xf>
    <xf numFmtId="3" fontId="35" fillId="33" borderId="0" xfId="0" applyNumberFormat="1" applyFont="1" applyFill="1" applyAlignment="1">
      <alignment horizontal="center" vertical="center" wrapText="1"/>
    </xf>
    <xf numFmtId="166" fontId="62" fillId="0" borderId="57" xfId="1" applyNumberFormat="1" applyFont="1" applyFill="1" applyBorder="1" applyAlignment="1">
      <alignment horizontal="center" vertical="center"/>
    </xf>
    <xf numFmtId="166" fontId="62" fillId="0" borderId="41" xfId="1" applyNumberFormat="1" applyFont="1" applyFill="1" applyBorder="1" applyAlignment="1">
      <alignment horizontal="center" vertical="center"/>
    </xf>
    <xf numFmtId="166" fontId="3" fillId="33" borderId="19" xfId="1" applyNumberFormat="1" applyFont="1" applyFill="1" applyBorder="1" applyAlignment="1">
      <alignment horizontal="center" vertical="center"/>
    </xf>
    <xf numFmtId="166" fontId="22" fillId="33" borderId="19" xfId="1" applyNumberFormat="1" applyFont="1" applyFill="1" applyBorder="1" applyAlignment="1">
      <alignment horizontal="center" vertical="center"/>
    </xf>
    <xf numFmtId="166" fontId="22" fillId="33" borderId="24" xfId="1" applyNumberFormat="1" applyFont="1" applyFill="1" applyBorder="1" applyAlignment="1">
      <alignment horizontal="center" vertical="center"/>
    </xf>
    <xf numFmtId="166" fontId="37" fillId="0" borderId="56" xfId="1" applyNumberFormat="1" applyFont="1" applyFill="1" applyBorder="1" applyAlignment="1">
      <alignment horizontal="center" vertical="center"/>
    </xf>
    <xf numFmtId="165" fontId="21" fillId="34" borderId="28" xfId="0" applyNumberFormat="1" applyFont="1" applyFill="1" applyBorder="1" applyAlignment="1">
      <alignment vertical="center"/>
    </xf>
    <xf numFmtId="165" fontId="22" fillId="34" borderId="29" xfId="0" applyNumberFormat="1" applyFont="1" applyFill="1" applyBorder="1" applyAlignment="1">
      <alignment horizontal="left" vertical="center"/>
    </xf>
    <xf numFmtId="166" fontId="11" fillId="34" borderId="29" xfId="1" applyNumberFormat="1" applyFont="1" applyFill="1" applyBorder="1" applyAlignment="1">
      <alignment horizontal="center" vertical="center"/>
    </xf>
    <xf numFmtId="165" fontId="10" fillId="34" borderId="32" xfId="0" applyNumberFormat="1" applyFont="1" applyFill="1" applyBorder="1" applyAlignment="1">
      <alignment vertical="center"/>
    </xf>
    <xf numFmtId="165" fontId="23" fillId="34" borderId="33" xfId="0" applyNumberFormat="1" applyFont="1" applyFill="1" applyBorder="1" applyAlignment="1">
      <alignment horizontal="left" vertical="center" wrapText="1"/>
    </xf>
    <xf numFmtId="166" fontId="11" fillId="34" borderId="33" xfId="1" applyNumberFormat="1" applyFont="1" applyFill="1" applyBorder="1" applyAlignment="1">
      <alignment horizontal="center" vertical="center"/>
    </xf>
    <xf numFmtId="166" fontId="11" fillId="34" borderId="67" xfId="1" applyNumberFormat="1" applyFont="1" applyFill="1" applyBorder="1" applyAlignment="1">
      <alignment horizontal="center" vertical="center"/>
    </xf>
    <xf numFmtId="166" fontId="11" fillId="34" borderId="68" xfId="1" applyNumberFormat="1" applyFont="1" applyFill="1" applyBorder="1" applyAlignment="1">
      <alignment horizontal="center" vertical="center"/>
    </xf>
    <xf numFmtId="166" fontId="37" fillId="34" borderId="36" xfId="1" applyNumberFormat="1" applyFont="1" applyFill="1" applyBorder="1" applyAlignment="1">
      <alignment horizontal="center" vertical="center"/>
    </xf>
    <xf numFmtId="166" fontId="3" fillId="33" borderId="70" xfId="1" applyNumberFormat="1" applyFont="1" applyFill="1" applyBorder="1" applyAlignment="1">
      <alignment horizontal="center" vertical="center"/>
    </xf>
    <xf numFmtId="166" fontId="15" fillId="33" borderId="71" xfId="1" applyNumberFormat="1" applyFont="1" applyFill="1" applyBorder="1" applyAlignment="1">
      <alignment horizontal="center" vertical="center"/>
    </xf>
    <xf numFmtId="166" fontId="15" fillId="33" borderId="71" xfId="1" applyNumberFormat="1" applyFont="1" applyFill="1" applyBorder="1" applyAlignment="1">
      <alignment horizontal="center"/>
    </xf>
    <xf numFmtId="166" fontId="11" fillId="33" borderId="71" xfId="1" applyNumberFormat="1" applyFont="1" applyFill="1" applyBorder="1" applyAlignment="1">
      <alignment horizontal="center"/>
    </xf>
    <xf numFmtId="166" fontId="11" fillId="33" borderId="72" xfId="1" applyNumberFormat="1" applyFont="1" applyFill="1" applyBorder="1" applyAlignment="1">
      <alignment horizontal="center"/>
    </xf>
    <xf numFmtId="166" fontId="11" fillId="34" borderId="36" xfId="1" applyNumberFormat="1" applyFont="1" applyFill="1" applyBorder="1" applyAlignment="1">
      <alignment horizontal="center" vertical="center"/>
    </xf>
    <xf numFmtId="166" fontId="3" fillId="0" borderId="71" xfId="1" applyNumberFormat="1" applyFont="1" applyFill="1" applyBorder="1" applyAlignment="1">
      <alignment horizontal="center"/>
    </xf>
    <xf numFmtId="166" fontId="15" fillId="0" borderId="71" xfId="1" applyNumberFormat="1" applyFont="1" applyFill="1" applyBorder="1" applyAlignment="1">
      <alignment horizontal="center"/>
    </xf>
    <xf numFmtId="166" fontId="15" fillId="0" borderId="71" xfId="1" applyNumberFormat="1" applyFont="1" applyFill="1" applyBorder="1" applyAlignment="1">
      <alignment horizontal="center" vertical="center"/>
    </xf>
    <xf numFmtId="166" fontId="15" fillId="0" borderId="71" xfId="2" applyNumberFormat="1" applyFont="1" applyFill="1" applyBorder="1" applyAlignment="1">
      <alignment horizontal="center"/>
    </xf>
    <xf numFmtId="166" fontId="11" fillId="0" borderId="71" xfId="1" applyNumberFormat="1" applyFont="1" applyFill="1" applyBorder="1" applyAlignment="1">
      <alignment horizontal="center" vertical="center"/>
    </xf>
    <xf numFmtId="166" fontId="11" fillId="33" borderId="71" xfId="1" applyNumberFormat="1" applyFont="1" applyFill="1" applyBorder="1" applyAlignment="1">
      <alignment horizontal="center" vertical="center"/>
    </xf>
    <xf numFmtId="166" fontId="15" fillId="33" borderId="72" xfId="1" applyNumberFormat="1" applyFont="1" applyFill="1" applyBorder="1" applyAlignment="1">
      <alignment horizontal="center"/>
    </xf>
    <xf numFmtId="3" fontId="11" fillId="34" borderId="41" xfId="0" applyNumberFormat="1" applyFont="1" applyFill="1" applyBorder="1" applyAlignment="1">
      <alignment horizontal="center" vertical="center" wrapText="1"/>
    </xf>
    <xf numFmtId="166" fontId="11" fillId="34" borderId="42" xfId="1" applyNumberFormat="1" applyFont="1" applyFill="1" applyBorder="1" applyAlignment="1">
      <alignment horizontal="center" vertical="center"/>
    </xf>
    <xf numFmtId="3" fontId="11" fillId="34" borderId="25" xfId="0" applyNumberFormat="1" applyFont="1" applyFill="1" applyBorder="1" applyAlignment="1">
      <alignment horizontal="center" vertical="center" wrapText="1"/>
    </xf>
    <xf numFmtId="10" fontId="37" fillId="34" borderId="27" xfId="1" applyNumberFormat="1" applyFont="1" applyFill="1" applyBorder="1" applyAlignment="1">
      <alignment horizontal="center" vertical="center"/>
    </xf>
    <xf numFmtId="0" fontId="7" fillId="33" borderId="61" xfId="0" applyFont="1" applyFill="1" applyBorder="1" applyAlignment="1">
      <alignment horizontal="center" vertical="center" wrapText="1"/>
    </xf>
    <xf numFmtId="0" fontId="7" fillId="33" borderId="60" xfId="0" applyFont="1" applyFill="1" applyBorder="1" applyAlignment="1">
      <alignment horizontal="center" vertical="center" wrapText="1"/>
    </xf>
    <xf numFmtId="3" fontId="35" fillId="33" borderId="59" xfId="0" applyNumberFormat="1" applyFont="1" applyFill="1" applyBorder="1" applyAlignment="1">
      <alignment horizontal="center" vertical="center" wrapText="1"/>
    </xf>
    <xf numFmtId="165" fontId="8" fillId="33" borderId="10" xfId="3" applyNumberFormat="1" applyFont="1" applyFill="1" applyBorder="1" applyAlignment="1">
      <alignment vertical="center" wrapText="1"/>
    </xf>
    <xf numFmtId="165" fontId="9" fillId="33" borderId="11" xfId="0" applyNumberFormat="1" applyFont="1" applyFill="1" applyBorder="1" applyAlignment="1">
      <alignment horizontal="left" vertical="center"/>
    </xf>
    <xf numFmtId="3" fontId="9" fillId="33" borderId="11" xfId="0" applyNumberFormat="1" applyFont="1" applyFill="1" applyBorder="1" applyAlignment="1">
      <alignment horizontal="center" vertical="center" wrapText="1"/>
    </xf>
    <xf numFmtId="3" fontId="9" fillId="33" borderId="20" xfId="0" applyNumberFormat="1" applyFont="1" applyFill="1" applyBorder="1" applyAlignment="1">
      <alignment horizontal="center" vertical="center" wrapText="1"/>
    </xf>
    <xf numFmtId="3" fontId="9" fillId="0" borderId="25" xfId="0" applyNumberFormat="1" applyFont="1" applyBorder="1" applyAlignment="1">
      <alignment horizontal="center" vertical="center" wrapText="1"/>
    </xf>
    <xf numFmtId="3" fontId="9" fillId="33" borderId="36" xfId="0" applyNumberFormat="1" applyFont="1" applyFill="1" applyBorder="1" applyAlignment="1">
      <alignment horizontal="center" vertical="center" wrapText="1"/>
    </xf>
    <xf numFmtId="166" fontId="36" fillId="0" borderId="25" xfId="1" applyNumberFormat="1" applyFont="1" applyFill="1" applyBorder="1" applyAlignment="1">
      <alignment horizontal="center" vertical="center"/>
    </xf>
    <xf numFmtId="166" fontId="36" fillId="0" borderId="52" xfId="1" applyNumberFormat="1" applyFont="1" applyFill="1" applyBorder="1" applyAlignment="1">
      <alignment horizontal="center" vertical="center"/>
    </xf>
    <xf numFmtId="10" fontId="60" fillId="0" borderId="27" xfId="1" applyNumberFormat="1" applyFont="1" applyFill="1" applyBorder="1" applyAlignment="1">
      <alignment horizontal="center" vertical="center"/>
    </xf>
    <xf numFmtId="3" fontId="11" fillId="0" borderId="57" xfId="0" applyNumberFormat="1" applyFont="1" applyBorder="1" applyAlignment="1">
      <alignment horizontal="center" vertical="center" wrapText="1"/>
    </xf>
    <xf numFmtId="3" fontId="11" fillId="0" borderId="41" xfId="0" applyNumberFormat="1" applyFont="1" applyBorder="1" applyAlignment="1">
      <alignment horizontal="center" vertical="center" wrapText="1"/>
    </xf>
    <xf numFmtId="3" fontId="11" fillId="0" borderId="58" xfId="0" applyNumberFormat="1" applyFont="1" applyBorder="1" applyAlignment="1">
      <alignment horizontal="center" vertical="center" wrapText="1"/>
    </xf>
    <xf numFmtId="3" fontId="11" fillId="34" borderId="40" xfId="0" applyNumberFormat="1" applyFont="1" applyFill="1" applyBorder="1" applyAlignment="1">
      <alignment horizontal="center" vertical="center" wrapText="1"/>
    </xf>
    <xf numFmtId="166" fontId="14" fillId="33" borderId="19" xfId="1" applyNumberFormat="1" applyFont="1" applyFill="1" applyBorder="1" applyAlignment="1">
      <alignment horizontal="left"/>
    </xf>
    <xf numFmtId="166" fontId="11" fillId="33" borderId="19" xfId="1" applyNumberFormat="1" applyFont="1" applyFill="1" applyBorder="1" applyAlignment="1">
      <alignment horizontal="center"/>
    </xf>
    <xf numFmtId="166" fontId="11" fillId="34" borderId="10" xfId="1" applyNumberFormat="1" applyFont="1" applyFill="1" applyBorder="1" applyAlignment="1">
      <alignment horizontal="left" vertical="center"/>
    </xf>
    <xf numFmtId="166" fontId="11" fillId="34" borderId="40" xfId="1" applyNumberFormat="1" applyFont="1" applyFill="1" applyBorder="1" applyAlignment="1">
      <alignment horizontal="center" vertical="center"/>
    </xf>
    <xf numFmtId="166" fontId="15" fillId="34" borderId="41" xfId="1" applyNumberFormat="1" applyFont="1" applyFill="1" applyBorder="1" applyAlignment="1">
      <alignment horizontal="center" vertical="center"/>
    </xf>
    <xf numFmtId="166" fontId="37" fillId="34" borderId="40" xfId="1" applyNumberFormat="1" applyFont="1" applyFill="1" applyBorder="1" applyAlignment="1">
      <alignment horizontal="center" vertical="center"/>
    </xf>
    <xf numFmtId="10" fontId="37" fillId="34" borderId="40" xfId="1" applyNumberFormat="1" applyFont="1" applyFill="1" applyBorder="1" applyAlignment="1">
      <alignment horizontal="center" vertical="center"/>
    </xf>
    <xf numFmtId="10" fontId="37" fillId="0" borderId="41" xfId="1" applyNumberFormat="1" applyFont="1" applyFill="1" applyBorder="1" applyAlignment="1">
      <alignment horizontal="center" vertical="center"/>
    </xf>
    <xf numFmtId="10" fontId="37" fillId="34" borderId="41" xfId="1" applyNumberFormat="1" applyFont="1" applyFill="1" applyBorder="1" applyAlignment="1">
      <alignment horizontal="center" vertical="center"/>
    </xf>
    <xf numFmtId="10" fontId="37" fillId="34" borderId="42" xfId="1" applyNumberFormat="1" applyFont="1" applyFill="1" applyBorder="1" applyAlignment="1">
      <alignment horizontal="center" vertical="center"/>
    </xf>
    <xf numFmtId="166" fontId="37" fillId="0" borderId="40" xfId="1" applyNumberFormat="1" applyFont="1" applyFill="1" applyBorder="1" applyAlignment="1">
      <alignment horizontal="center" vertical="center"/>
    </xf>
    <xf numFmtId="166" fontId="37" fillId="0" borderId="42" xfId="1" applyNumberFormat="1" applyFont="1" applyFill="1" applyBorder="1" applyAlignment="1">
      <alignment horizontal="center" vertical="center"/>
    </xf>
    <xf numFmtId="10" fontId="37" fillId="0" borderId="40" xfId="1" applyNumberFormat="1" applyFont="1" applyFill="1" applyBorder="1" applyAlignment="1">
      <alignment horizontal="center" vertical="center"/>
    </xf>
    <xf numFmtId="10" fontId="37" fillId="0" borderId="42" xfId="1" applyNumberFormat="1" applyFont="1" applyFill="1" applyBorder="1" applyAlignment="1">
      <alignment horizontal="center" vertical="center"/>
    </xf>
    <xf numFmtId="165" fontId="10" fillId="33" borderId="18" xfId="3" applyNumberFormat="1" applyFont="1" applyFill="1" applyBorder="1" applyAlignment="1">
      <alignment vertical="center"/>
    </xf>
    <xf numFmtId="166" fontId="37" fillId="0" borderId="58" xfId="1" applyNumberFormat="1" applyFont="1" applyFill="1" applyBorder="1" applyAlignment="1">
      <alignment horizontal="center" vertical="center"/>
    </xf>
    <xf numFmtId="10" fontId="37" fillId="0" borderId="58" xfId="1" applyNumberFormat="1" applyFont="1" applyFill="1" applyBorder="1" applyAlignment="1">
      <alignment horizontal="center" vertical="center"/>
    </xf>
    <xf numFmtId="10" fontId="37" fillId="0" borderId="57" xfId="1" applyNumberFormat="1" applyFont="1" applyFill="1" applyBorder="1" applyAlignment="1">
      <alignment horizontal="center" vertical="center"/>
    </xf>
    <xf numFmtId="165" fontId="10" fillId="34" borderId="26" xfId="3" applyNumberFormat="1" applyFont="1" applyFill="1" applyBorder="1" applyAlignment="1">
      <alignment vertical="center"/>
    </xf>
    <xf numFmtId="166" fontId="11" fillId="34" borderId="52" xfId="1" applyNumberFormat="1" applyFont="1" applyFill="1" applyBorder="1" applyAlignment="1">
      <alignment horizontal="left" vertical="center"/>
    </xf>
    <xf numFmtId="165" fontId="10" fillId="34" borderId="25" xfId="3" applyNumberFormat="1" applyFont="1" applyFill="1" applyBorder="1" applyAlignment="1">
      <alignment vertical="center"/>
    </xf>
    <xf numFmtId="166" fontId="15" fillId="0" borderId="19" xfId="1" applyNumberFormat="1" applyFont="1" applyFill="1" applyBorder="1" applyAlignment="1">
      <alignment horizontal="center"/>
    </xf>
    <xf numFmtId="166" fontId="3" fillId="33" borderId="24" xfId="1" applyNumberFormat="1" applyFont="1" applyFill="1" applyBorder="1" applyAlignment="1">
      <alignment horizontal="center" vertical="center"/>
    </xf>
    <xf numFmtId="166" fontId="15" fillId="0" borderId="72" xfId="1" applyNumberFormat="1" applyFont="1" applyFill="1" applyBorder="1" applyAlignment="1">
      <alignment horizontal="center"/>
    </xf>
    <xf numFmtId="166" fontId="62" fillId="0" borderId="56" xfId="1" applyNumberFormat="1" applyFont="1" applyFill="1" applyBorder="1" applyAlignment="1">
      <alignment horizontal="center" vertical="center"/>
    </xf>
    <xf numFmtId="166" fontId="14" fillId="33" borderId="15" xfId="1" applyNumberFormat="1" applyFont="1" applyFill="1" applyBorder="1" applyAlignment="1">
      <alignment horizontal="left" vertical="center"/>
    </xf>
    <xf numFmtId="166" fontId="15" fillId="0" borderId="15" xfId="1" applyNumberFormat="1" applyFont="1" applyFill="1" applyBorder="1" applyAlignment="1">
      <alignment horizontal="center" vertical="center"/>
    </xf>
    <xf numFmtId="166" fontId="15" fillId="33" borderId="22" xfId="1" applyNumberFormat="1" applyFont="1" applyFill="1" applyBorder="1" applyAlignment="1">
      <alignment horizontal="center" vertical="center"/>
    </xf>
    <xf numFmtId="166" fontId="15" fillId="0" borderId="70" xfId="1" applyNumberFormat="1" applyFont="1" applyFill="1" applyBorder="1" applyAlignment="1">
      <alignment horizontal="center" vertical="center"/>
    </xf>
    <xf numFmtId="165" fontId="10" fillId="33" borderId="10" xfId="3" applyNumberFormat="1" applyFont="1" applyFill="1" applyBorder="1" applyAlignment="1">
      <alignment vertical="center"/>
    </xf>
    <xf numFmtId="166" fontId="16" fillId="33" borderId="11" xfId="1" applyNumberFormat="1" applyFont="1" applyFill="1" applyBorder="1" applyAlignment="1">
      <alignment horizontal="left" vertical="center"/>
    </xf>
    <xf numFmtId="166" fontId="11" fillId="0" borderId="11" xfId="1" applyNumberFormat="1" applyFont="1" applyFill="1" applyBorder="1" applyAlignment="1">
      <alignment horizontal="center" vertical="center"/>
    </xf>
    <xf numFmtId="166" fontId="11" fillId="33" borderId="11" xfId="1" applyNumberFormat="1" applyFont="1" applyFill="1" applyBorder="1" applyAlignment="1">
      <alignment horizontal="center" vertical="center"/>
    </xf>
    <xf numFmtId="166" fontId="11" fillId="33" borderId="20" xfId="1" applyNumberFormat="1" applyFont="1" applyFill="1" applyBorder="1" applyAlignment="1">
      <alignment horizontal="center" vertical="center"/>
    </xf>
    <xf numFmtId="3" fontId="11" fillId="0" borderId="25" xfId="0" applyNumberFormat="1" applyFont="1" applyBorder="1" applyAlignment="1">
      <alignment horizontal="center" vertical="center" wrapText="1"/>
    </xf>
    <xf numFmtId="166" fontId="37" fillId="0" borderId="36" xfId="1" applyNumberFormat="1" applyFont="1" applyFill="1" applyBorder="1" applyAlignment="1">
      <alignment horizontal="center" vertical="center"/>
    </xf>
    <xf numFmtId="166" fontId="37" fillId="0" borderId="25" xfId="1" applyNumberFormat="1" applyFont="1" applyFill="1" applyBorder="1" applyAlignment="1">
      <alignment horizontal="center" vertical="center"/>
    </xf>
    <xf numFmtId="10" fontId="37" fillId="0" borderId="25" xfId="1" applyNumberFormat="1" applyFont="1" applyFill="1" applyBorder="1" applyAlignment="1">
      <alignment horizontal="center" vertical="center"/>
    </xf>
    <xf numFmtId="166" fontId="15" fillId="33" borderId="15" xfId="1" applyNumberFormat="1" applyFont="1" applyFill="1" applyBorder="1" applyAlignment="1">
      <alignment horizontal="left"/>
    </xf>
    <xf numFmtId="166" fontId="15" fillId="0" borderId="15" xfId="1" applyNumberFormat="1" applyFont="1" applyFill="1" applyBorder="1" applyAlignment="1">
      <alignment horizontal="center"/>
    </xf>
    <xf numFmtId="166" fontId="15" fillId="33" borderId="15" xfId="1" applyNumberFormat="1" applyFont="1" applyFill="1" applyBorder="1" applyAlignment="1">
      <alignment horizontal="center" vertical="center"/>
    </xf>
    <xf numFmtId="166" fontId="15" fillId="0" borderId="70" xfId="1" applyNumberFormat="1" applyFont="1" applyFill="1" applyBorder="1" applyAlignment="1">
      <alignment horizontal="center"/>
    </xf>
    <xf numFmtId="165" fontId="57" fillId="33" borderId="10" xfId="3" applyNumberFormat="1" applyFont="1" applyFill="1" applyBorder="1" applyAlignment="1">
      <alignment vertical="center"/>
    </xf>
    <xf numFmtId="166" fontId="37" fillId="0" borderId="11" xfId="1" applyNumberFormat="1" applyFont="1" applyFill="1" applyBorder="1" applyAlignment="1">
      <alignment horizontal="left" vertical="center"/>
    </xf>
    <xf numFmtId="166" fontId="37" fillId="0" borderId="11" xfId="1" applyNumberFormat="1" applyFont="1" applyFill="1" applyBorder="1" applyAlignment="1">
      <alignment horizontal="center" vertical="center"/>
    </xf>
    <xf numFmtId="166" fontId="37" fillId="33" borderId="11" xfId="1" applyNumberFormat="1" applyFont="1" applyFill="1" applyBorder="1" applyAlignment="1">
      <alignment horizontal="center" vertical="center"/>
    </xf>
    <xf numFmtId="166" fontId="37" fillId="33" borderId="20" xfId="1" applyNumberFormat="1" applyFont="1" applyFill="1" applyBorder="1" applyAlignment="1">
      <alignment horizontal="center" vertical="center"/>
    </xf>
    <xf numFmtId="166" fontId="15" fillId="33" borderId="19" xfId="4" applyNumberFormat="1" applyFont="1" applyFill="1" applyBorder="1" applyAlignment="1">
      <alignment horizontal="center" vertical="center"/>
    </xf>
    <xf numFmtId="166" fontId="17" fillId="33" borderId="15" xfId="1" applyNumberFormat="1" applyFont="1" applyFill="1" applyBorder="1" applyAlignment="1">
      <alignment horizontal="left"/>
    </xf>
    <xf numFmtId="166" fontId="3" fillId="33" borderId="15" xfId="1" applyNumberFormat="1" applyFont="1" applyFill="1" applyBorder="1" applyAlignment="1">
      <alignment horizontal="center"/>
    </xf>
    <xf numFmtId="166" fontId="22" fillId="33" borderId="15" xfId="1" applyNumberFormat="1" applyFont="1" applyFill="1" applyBorder="1" applyAlignment="1">
      <alignment horizontal="center" vertical="center"/>
    </xf>
    <xf numFmtId="166" fontId="22" fillId="33" borderId="22" xfId="1" applyNumberFormat="1" applyFont="1" applyFill="1" applyBorder="1" applyAlignment="1">
      <alignment horizontal="center" vertical="center"/>
    </xf>
    <xf numFmtId="166" fontId="3" fillId="0" borderId="70" xfId="1" applyNumberFormat="1" applyFont="1" applyFill="1" applyBorder="1" applyAlignment="1">
      <alignment horizontal="center"/>
    </xf>
    <xf numFmtId="165" fontId="10" fillId="33" borderId="10" xfId="3" quotePrefix="1" applyNumberFormat="1" applyFont="1" applyFill="1" applyBorder="1" applyAlignment="1"/>
    <xf numFmtId="166" fontId="11" fillId="33" borderId="11" xfId="1" applyNumberFormat="1" applyFont="1" applyFill="1" applyBorder="1" applyAlignment="1">
      <alignment horizontal="left" vertical="center"/>
    </xf>
    <xf numFmtId="166" fontId="11" fillId="0" borderId="36" xfId="1" applyNumberFormat="1" applyFont="1" applyFill="1" applyBorder="1" applyAlignment="1">
      <alignment horizontal="center" vertical="center"/>
    </xf>
    <xf numFmtId="165" fontId="12" fillId="33" borderId="12" xfId="3" quotePrefix="1" applyNumberFormat="1" applyFont="1" applyFill="1" applyBorder="1" applyAlignment="1">
      <alignment vertical="center"/>
    </xf>
    <xf numFmtId="166" fontId="15" fillId="33" borderId="13" xfId="1" applyNumberFormat="1" applyFont="1" applyFill="1" applyBorder="1" applyAlignment="1">
      <alignment horizontal="left"/>
    </xf>
    <xf numFmtId="166" fontId="15" fillId="0" borderId="13" xfId="1" applyNumberFormat="1" applyFont="1" applyFill="1" applyBorder="1" applyAlignment="1">
      <alignment horizontal="center"/>
    </xf>
    <xf numFmtId="166" fontId="3" fillId="33" borderId="13" xfId="1" applyNumberFormat="1" applyFont="1" applyFill="1" applyBorder="1" applyAlignment="1">
      <alignment horizontal="center" vertical="center"/>
    </xf>
    <xf numFmtId="166" fontId="28" fillId="33" borderId="13" xfId="1" applyNumberFormat="1" applyFont="1" applyFill="1" applyBorder="1" applyAlignment="1">
      <alignment horizontal="center" vertical="center"/>
    </xf>
    <xf numFmtId="166" fontId="28" fillId="33" borderId="21" xfId="1" applyNumberFormat="1" applyFont="1" applyFill="1" applyBorder="1" applyAlignment="1">
      <alignment horizontal="center" vertical="center"/>
    </xf>
    <xf numFmtId="3" fontId="11" fillId="0" borderId="56" xfId="0" applyNumberFormat="1" applyFont="1" applyBorder="1" applyAlignment="1">
      <alignment horizontal="center" vertical="center" wrapText="1"/>
    </xf>
    <xf numFmtId="166" fontId="15" fillId="0" borderId="69" xfId="1" applyNumberFormat="1" applyFont="1" applyFill="1" applyBorder="1" applyAlignment="1">
      <alignment horizontal="center"/>
    </xf>
    <xf numFmtId="10" fontId="37" fillId="0" borderId="56" xfId="1" applyNumberFormat="1" applyFont="1" applyFill="1" applyBorder="1" applyAlignment="1">
      <alignment horizontal="center" vertical="center"/>
    </xf>
    <xf numFmtId="166" fontId="15" fillId="33" borderId="70" xfId="1" applyNumberFormat="1" applyFont="1" applyFill="1" applyBorder="1" applyAlignment="1">
      <alignment horizontal="center"/>
    </xf>
    <xf numFmtId="0" fontId="59" fillId="0" borderId="47" xfId="7" applyFont="1" applyBorder="1" applyAlignment="1">
      <alignment horizontal="left" vertical="top" wrapText="1"/>
    </xf>
    <xf numFmtId="167" fontId="59" fillId="0" borderId="47" xfId="7" applyNumberFormat="1" applyFont="1" applyBorder="1" applyAlignment="1">
      <alignment horizontal="right" vertical="top" wrapText="1"/>
    </xf>
    <xf numFmtId="0" fontId="59" fillId="0" borderId="0" xfId="7" applyFont="1" applyAlignment="1">
      <alignment horizontal="left" vertical="top" wrapText="1"/>
    </xf>
    <xf numFmtId="0" fontId="3" fillId="0" borderId="0" xfId="7" applyFont="1"/>
    <xf numFmtId="0" fontId="3" fillId="0" borderId="0" xfId="7" applyFont="1" applyAlignment="1">
      <alignment horizontal="center"/>
    </xf>
    <xf numFmtId="0" fontId="3" fillId="0" borderId="0" xfId="7" applyFont="1" applyAlignment="1">
      <alignment horizontal="left"/>
    </xf>
    <xf numFmtId="14" fontId="30" fillId="0" borderId="0" xfId="7" applyNumberFormat="1" applyFont="1"/>
    <xf numFmtId="0" fontId="3" fillId="0" borderId="16" xfId="7" applyFont="1" applyBorder="1" applyAlignment="1">
      <alignment horizontal="left"/>
    </xf>
    <xf numFmtId="0" fontId="64" fillId="0" borderId="16" xfId="7" applyFont="1" applyBorder="1" applyAlignment="1">
      <alignment horizontal="left"/>
    </xf>
    <xf numFmtId="3" fontId="63" fillId="0" borderId="31" xfId="7" applyNumberFormat="1" applyFont="1" applyBorder="1" applyAlignment="1">
      <alignment horizontal="center"/>
    </xf>
    <xf numFmtId="3" fontId="63" fillId="0" borderId="17" xfId="7" applyNumberFormat="1" applyFont="1" applyBorder="1" applyAlignment="1">
      <alignment horizontal="center"/>
    </xf>
    <xf numFmtId="0" fontId="17" fillId="0" borderId="16" xfId="7" applyFont="1" applyBorder="1" applyAlignment="1">
      <alignment horizontal="left"/>
    </xf>
    <xf numFmtId="3" fontId="3" fillId="0" borderId="31" xfId="7" applyNumberFormat="1" applyFont="1" applyBorder="1" applyAlignment="1">
      <alignment horizontal="center"/>
    </xf>
    <xf numFmtId="3" fontId="3" fillId="0" borderId="17" xfId="7" applyNumberFormat="1" applyFont="1" applyBorder="1" applyAlignment="1">
      <alignment horizontal="center"/>
    </xf>
    <xf numFmtId="166" fontId="3" fillId="0" borderId="31" xfId="7" applyNumberFormat="1" applyFont="1" applyBorder="1" applyAlignment="1">
      <alignment horizontal="center"/>
    </xf>
    <xf numFmtId="166" fontId="3" fillId="0" borderId="17" xfId="7" applyNumberFormat="1" applyFont="1" applyBorder="1" applyAlignment="1">
      <alignment horizontal="center"/>
    </xf>
    <xf numFmtId="49" fontId="3" fillId="0" borderId="0" xfId="7" applyNumberFormat="1" applyFont="1"/>
    <xf numFmtId="0" fontId="22" fillId="0" borderId="0" xfId="7" applyFont="1"/>
    <xf numFmtId="0" fontId="22" fillId="0" borderId="16" xfId="7" applyFont="1" applyBorder="1" applyAlignment="1">
      <alignment horizontal="left"/>
    </xf>
    <xf numFmtId="165" fontId="22" fillId="0" borderId="31" xfId="7" applyNumberFormat="1" applyFont="1" applyBorder="1" applyAlignment="1">
      <alignment horizontal="center"/>
    </xf>
    <xf numFmtId="165" fontId="15" fillId="0" borderId="17" xfId="7" applyNumberFormat="1" applyFont="1" applyBorder="1" applyAlignment="1">
      <alignment horizontal="center"/>
    </xf>
    <xf numFmtId="165" fontId="3" fillId="0" borderId="31" xfId="7" applyNumberFormat="1" applyFont="1" applyBorder="1" applyAlignment="1">
      <alignment horizontal="center"/>
    </xf>
    <xf numFmtId="165" fontId="3" fillId="0" borderId="17" xfId="7" applyNumberFormat="1" applyFont="1" applyBorder="1" applyAlignment="1">
      <alignment horizontal="center"/>
    </xf>
    <xf numFmtId="1" fontId="3" fillId="0" borderId="17" xfId="7" applyNumberFormat="1" applyFont="1" applyBorder="1" applyAlignment="1">
      <alignment horizontal="center"/>
    </xf>
    <xf numFmtId="166" fontId="67" fillId="0" borderId="31" xfId="49" applyNumberFormat="1" applyFont="1" applyFill="1" applyBorder="1" applyAlignment="1">
      <alignment horizontal="center"/>
    </xf>
    <xf numFmtId="166" fontId="67" fillId="0" borderId="17" xfId="49" applyNumberFormat="1" applyFont="1" applyFill="1" applyBorder="1" applyAlignment="1">
      <alignment horizontal="center"/>
    </xf>
    <xf numFmtId="166" fontId="3" fillId="0" borderId="31" xfId="49" applyNumberFormat="1" applyFont="1" applyFill="1" applyBorder="1" applyAlignment="1">
      <alignment horizontal="center"/>
    </xf>
    <xf numFmtId="166" fontId="3" fillId="0" borderId="17" xfId="49" applyNumberFormat="1" applyFont="1" applyFill="1" applyBorder="1" applyAlignment="1">
      <alignment horizontal="center"/>
    </xf>
    <xf numFmtId="0" fontId="66" fillId="40" borderId="16" xfId="7" applyFont="1" applyFill="1" applyBorder="1" applyAlignment="1">
      <alignment horizontal="left"/>
    </xf>
    <xf numFmtId="166" fontId="22" fillId="40" borderId="31" xfId="49" applyNumberFormat="1" applyFont="1" applyFill="1" applyBorder="1" applyAlignment="1">
      <alignment horizontal="center"/>
    </xf>
    <xf numFmtId="166" fontId="22" fillId="40" borderId="17" xfId="49" applyNumberFormat="1" applyFont="1" applyFill="1" applyBorder="1" applyAlignment="1">
      <alignment horizontal="center"/>
    </xf>
    <xf numFmtId="0" fontId="11" fillId="0" borderId="0" xfId="7" applyFont="1"/>
    <xf numFmtId="166" fontId="65" fillId="0" borderId="31" xfId="49" applyNumberFormat="1" applyFont="1" applyFill="1" applyBorder="1" applyAlignment="1">
      <alignment horizontal="center"/>
    </xf>
    <xf numFmtId="166" fontId="65" fillId="0" borderId="17" xfId="49" applyNumberFormat="1" applyFont="1" applyFill="1" applyBorder="1" applyAlignment="1">
      <alignment horizontal="center"/>
    </xf>
    <xf numFmtId="0" fontId="3" fillId="0" borderId="16" xfId="7" applyFont="1" applyBorder="1" applyAlignment="1">
      <alignment horizontal="left" indent="1"/>
    </xf>
    <xf numFmtId="166" fontId="9" fillId="0" borderId="31" xfId="49" applyNumberFormat="1" applyFont="1" applyFill="1" applyBorder="1" applyAlignment="1">
      <alignment horizontal="center"/>
    </xf>
    <xf numFmtId="166" fontId="9" fillId="0" borderId="17" xfId="49" applyNumberFormat="1" applyFont="1" applyFill="1" applyBorder="1" applyAlignment="1">
      <alignment horizontal="center"/>
    </xf>
    <xf numFmtId="0" fontId="22" fillId="34" borderId="16" xfId="7" applyFont="1" applyFill="1" applyBorder="1" applyAlignment="1">
      <alignment horizontal="left"/>
    </xf>
    <xf numFmtId="166" fontId="22" fillId="34" borderId="31" xfId="49" applyNumberFormat="1" applyFont="1" applyFill="1" applyBorder="1" applyAlignment="1">
      <alignment horizontal="center"/>
    </xf>
    <xf numFmtId="166" fontId="22" fillId="34" borderId="17" xfId="49" applyNumberFormat="1" applyFont="1" applyFill="1" applyBorder="1" applyAlignment="1">
      <alignment horizontal="center"/>
    </xf>
    <xf numFmtId="0" fontId="3" fillId="34" borderId="16" xfId="7" applyFont="1" applyFill="1" applyBorder="1" applyAlignment="1">
      <alignment horizontal="left"/>
    </xf>
    <xf numFmtId="166" fontId="3" fillId="34" borderId="31" xfId="49" applyNumberFormat="1" applyFont="1" applyFill="1" applyBorder="1" applyAlignment="1">
      <alignment horizontal="center"/>
    </xf>
    <xf numFmtId="166" fontId="3" fillId="0" borderId="0" xfId="7" applyNumberFormat="1" applyFont="1"/>
    <xf numFmtId="166" fontId="22" fillId="0" borderId="31" xfId="49" applyNumberFormat="1" applyFont="1" applyFill="1" applyBorder="1" applyAlignment="1">
      <alignment horizontal="center"/>
    </xf>
    <xf numFmtId="166" fontId="17" fillId="0" borderId="31" xfId="49" applyNumberFormat="1" applyFont="1" applyFill="1" applyBorder="1" applyAlignment="1">
      <alignment horizontal="center"/>
    </xf>
    <xf numFmtId="166" fontId="17" fillId="0" borderId="17" xfId="49" applyNumberFormat="1" applyFont="1" applyFill="1" applyBorder="1" applyAlignment="1">
      <alignment horizontal="center"/>
    </xf>
    <xf numFmtId="166" fontId="22" fillId="34" borderId="34" xfId="49" applyNumberFormat="1" applyFont="1" applyFill="1" applyBorder="1" applyAlignment="1">
      <alignment horizontal="center"/>
    </xf>
    <xf numFmtId="166" fontId="9" fillId="0" borderId="0" xfId="7" applyNumberFormat="1" applyFont="1" applyAlignment="1">
      <alignment horizontal="center"/>
    </xf>
    <xf numFmtId="1" fontId="30" fillId="0" borderId="0" xfId="7" applyNumberFormat="1" applyFont="1" applyAlignment="1">
      <alignment horizontal="center"/>
    </xf>
    <xf numFmtId="1" fontId="3" fillId="0" borderId="0" xfId="7" applyNumberFormat="1" applyFont="1"/>
    <xf numFmtId="166" fontId="3" fillId="0" borderId="0" xfId="7" applyNumberFormat="1" applyFont="1" applyAlignment="1">
      <alignment horizontal="center"/>
    </xf>
    <xf numFmtId="0" fontId="68" fillId="0" borderId="0" xfId="7" applyFont="1" applyAlignment="1">
      <alignment horizontal="center"/>
    </xf>
    <xf numFmtId="0" fontId="68" fillId="0" borderId="0" xfId="7" applyFont="1"/>
    <xf numFmtId="0" fontId="3" fillId="0" borderId="17" xfId="7" applyFont="1" applyBorder="1"/>
    <xf numFmtId="0" fontId="4" fillId="0" borderId="0" xfId="3" applyBorder="1" applyAlignment="1">
      <alignment horizontal="left"/>
    </xf>
    <xf numFmtId="166" fontId="4" fillId="0" borderId="0" xfId="3" applyNumberFormat="1" applyBorder="1" applyAlignment="1">
      <alignment horizontal="left"/>
    </xf>
    <xf numFmtId="1" fontId="4" fillId="0" borderId="0" xfId="3" applyNumberFormat="1" applyBorder="1" applyAlignment="1">
      <alignment horizontal="left"/>
    </xf>
    <xf numFmtId="165" fontId="4" fillId="33" borderId="0" xfId="3" applyNumberFormat="1" applyFill="1" applyBorder="1" applyAlignment="1"/>
    <xf numFmtId="0" fontId="11" fillId="35" borderId="16" xfId="7" applyFont="1" applyFill="1" applyBorder="1" applyAlignment="1">
      <alignment horizontal="left"/>
    </xf>
    <xf numFmtId="166" fontId="11" fillId="35" borderId="31" xfId="49" applyNumberFormat="1" applyFont="1" applyFill="1" applyBorder="1" applyAlignment="1">
      <alignment horizontal="center"/>
    </xf>
    <xf numFmtId="166" fontId="11" fillId="35" borderId="17" xfId="49" applyNumberFormat="1" applyFont="1" applyFill="1" applyBorder="1" applyAlignment="1">
      <alignment horizontal="center"/>
    </xf>
    <xf numFmtId="165" fontId="22" fillId="39" borderId="37" xfId="7" applyNumberFormat="1" applyFont="1" applyFill="1" applyBorder="1" applyAlignment="1">
      <alignment vertical="center"/>
    </xf>
    <xf numFmtId="0" fontId="22" fillId="39" borderId="75" xfId="7" applyFont="1" applyFill="1" applyBorder="1" applyAlignment="1">
      <alignment horizontal="center" vertical="center" wrapText="1"/>
    </xf>
    <xf numFmtId="0" fontId="22" fillId="39" borderId="59" xfId="7" applyFont="1" applyFill="1" applyBorder="1" applyAlignment="1">
      <alignment horizontal="center" vertical="center" wrapText="1"/>
    </xf>
    <xf numFmtId="0" fontId="3" fillId="0" borderId="28" xfId="7" applyFont="1" applyBorder="1" applyAlignment="1">
      <alignment horizontal="left"/>
    </xf>
    <xf numFmtId="0" fontId="63" fillId="0" borderId="29" xfId="7" applyFont="1" applyBorder="1" applyAlignment="1">
      <alignment horizontal="center"/>
    </xf>
    <xf numFmtId="0" fontId="9" fillId="0" borderId="29" xfId="7" applyFont="1" applyBorder="1" applyAlignment="1">
      <alignment horizontal="left" vertical="center" indent="1"/>
    </xf>
    <xf numFmtId="0" fontId="3" fillId="0" borderId="29" xfId="7" applyFont="1" applyBorder="1"/>
    <xf numFmtId="0" fontId="63" fillId="0" borderId="30" xfId="7" applyFont="1" applyBorder="1" applyAlignment="1">
      <alignment horizontal="center"/>
    </xf>
    <xf numFmtId="165" fontId="63" fillId="0" borderId="17" xfId="7" applyNumberFormat="1" applyFont="1" applyBorder="1" applyAlignment="1">
      <alignment horizontal="center"/>
    </xf>
    <xf numFmtId="0" fontId="3" fillId="0" borderId="17" xfId="7" applyFont="1" applyBorder="1" applyAlignment="1">
      <alignment horizontal="left" vertical="center" indent="1"/>
    </xf>
    <xf numFmtId="0" fontId="22" fillId="0" borderId="17" xfId="7" applyFont="1" applyBorder="1"/>
    <xf numFmtId="165" fontId="22" fillId="0" borderId="17" xfId="7" applyNumberFormat="1" applyFont="1" applyBorder="1" applyAlignment="1">
      <alignment horizontal="center"/>
    </xf>
    <xf numFmtId="0" fontId="9" fillId="0" borderId="17" xfId="7" applyFont="1" applyBorder="1" applyAlignment="1">
      <alignment horizontal="left" vertical="center" indent="1"/>
    </xf>
    <xf numFmtId="165" fontId="65" fillId="0" borderId="17" xfId="7" applyNumberFormat="1" applyFont="1" applyBorder="1" applyAlignment="1">
      <alignment horizontal="center"/>
    </xf>
    <xf numFmtId="165" fontId="15" fillId="0" borderId="31" xfId="7" applyNumberFormat="1" applyFont="1" applyBorder="1" applyAlignment="1">
      <alignment horizontal="center"/>
    </xf>
    <xf numFmtId="0" fontId="15" fillId="35" borderId="17" xfId="7" applyFont="1" applyFill="1" applyBorder="1"/>
    <xf numFmtId="0" fontId="11" fillId="35" borderId="17" xfId="7" applyFont="1" applyFill="1" applyBorder="1"/>
    <xf numFmtId="0" fontId="63" fillId="0" borderId="16" xfId="7" applyFont="1" applyBorder="1" applyAlignment="1">
      <alignment horizontal="left"/>
    </xf>
    <xf numFmtId="166" fontId="3" fillId="34" borderId="17" xfId="49" applyNumberFormat="1" applyFont="1" applyFill="1" applyBorder="1" applyAlignment="1">
      <alignment horizontal="center"/>
    </xf>
    <xf numFmtId="166" fontId="22" fillId="0" borderId="17" xfId="49" applyNumberFormat="1" applyFont="1" applyFill="1" applyBorder="1" applyAlignment="1">
      <alignment horizontal="center"/>
    </xf>
    <xf numFmtId="0" fontId="22" fillId="34" borderId="32" xfId="7" applyFont="1" applyFill="1" applyBorder="1" applyAlignment="1">
      <alignment horizontal="left"/>
    </xf>
    <xf numFmtId="166" fontId="22" fillId="34" borderId="33" xfId="49" applyNumberFormat="1" applyFont="1" applyFill="1" applyBorder="1" applyAlignment="1">
      <alignment horizontal="center"/>
    </xf>
    <xf numFmtId="0" fontId="3" fillId="0" borderId="33" xfId="7" applyFont="1" applyBorder="1"/>
    <xf numFmtId="2" fontId="3" fillId="0" borderId="0" xfId="7" applyNumberFormat="1" applyFont="1"/>
    <xf numFmtId="166" fontId="17" fillId="0" borderId="17" xfId="1" applyNumberFormat="1" applyFont="1" applyFill="1" applyBorder="1" applyAlignment="1">
      <alignment horizontal="left" vertical="center"/>
    </xf>
    <xf numFmtId="166" fontId="28" fillId="0" borderId="17" xfId="1" applyNumberFormat="1" applyFont="1" applyFill="1" applyBorder="1" applyAlignment="1">
      <alignment horizontal="center" vertical="center"/>
    </xf>
    <xf numFmtId="166" fontId="15" fillId="0" borderId="15" xfId="1" applyNumberFormat="1" applyFont="1" applyFill="1" applyBorder="1" applyAlignment="1">
      <alignment horizontal="left"/>
    </xf>
    <xf numFmtId="166" fontId="15" fillId="38" borderId="17" xfId="1" applyNumberFormat="1" applyFont="1" applyFill="1" applyBorder="1" applyAlignment="1">
      <alignment horizontal="left" vertical="center"/>
    </xf>
    <xf numFmtId="0" fontId="69" fillId="37" borderId="65" xfId="7" applyFont="1" applyFill="1" applyBorder="1" applyAlignment="1">
      <alignment horizontal="right" vertical="top" wrapText="1"/>
    </xf>
    <xf numFmtId="167" fontId="69" fillId="0" borderId="47" xfId="7" applyNumberFormat="1" applyFont="1" applyBorder="1" applyAlignment="1">
      <alignment horizontal="right" vertical="top" wrapText="1"/>
    </xf>
    <xf numFmtId="0" fontId="69" fillId="0" borderId="47" xfId="7" applyFont="1" applyBorder="1" applyAlignment="1">
      <alignment horizontal="left" vertical="top" wrapText="1"/>
    </xf>
    <xf numFmtId="168" fontId="69" fillId="0" borderId="47" xfId="7" applyNumberFormat="1" applyFont="1" applyBorder="1" applyAlignment="1">
      <alignment horizontal="right" vertical="top" wrapText="1"/>
    </xf>
    <xf numFmtId="0" fontId="33" fillId="0" borderId="0" xfId="7"/>
    <xf numFmtId="165" fontId="57" fillId="33" borderId="44" xfId="3" applyNumberFormat="1" applyFont="1" applyFill="1" applyBorder="1" applyAlignment="1">
      <alignment vertical="center"/>
    </xf>
    <xf numFmtId="166" fontId="28" fillId="33" borderId="15" xfId="1" applyNumberFormat="1" applyFont="1" applyFill="1" applyBorder="1" applyAlignment="1">
      <alignment horizontal="center" vertical="center"/>
    </xf>
    <xf numFmtId="166" fontId="58" fillId="33" borderId="10" xfId="1" applyNumberFormat="1" applyFont="1" applyFill="1" applyBorder="1" applyAlignment="1">
      <alignment horizontal="left" vertical="center"/>
    </xf>
    <xf numFmtId="166" fontId="20" fillId="33" borderId="11" xfId="1" applyNumberFormat="1" applyFont="1" applyFill="1" applyBorder="1" applyAlignment="1">
      <alignment horizontal="center" vertical="center"/>
    </xf>
    <xf numFmtId="166" fontId="20" fillId="33" borderId="20" xfId="1" applyNumberFormat="1" applyFont="1" applyFill="1" applyBorder="1" applyAlignment="1">
      <alignment horizontal="center" vertical="center"/>
    </xf>
    <xf numFmtId="166" fontId="15" fillId="0" borderId="36" xfId="1" applyNumberFormat="1" applyFont="1" applyFill="1" applyBorder="1" applyAlignment="1">
      <alignment horizontal="center" vertical="center"/>
    </xf>
    <xf numFmtId="166" fontId="62" fillId="0" borderId="25" xfId="1" applyNumberFormat="1" applyFont="1" applyFill="1" applyBorder="1" applyAlignment="1">
      <alignment horizontal="center" vertical="center"/>
    </xf>
    <xf numFmtId="165" fontId="12" fillId="33" borderId="44" xfId="3" applyNumberFormat="1" applyFont="1" applyFill="1" applyBorder="1" applyAlignment="1">
      <alignment vertical="center"/>
    </xf>
    <xf numFmtId="165" fontId="12" fillId="33" borderId="44" xfId="3" quotePrefix="1" applyNumberFormat="1" applyFont="1" applyFill="1" applyBorder="1" applyAlignment="1">
      <alignment vertical="center"/>
    </xf>
    <xf numFmtId="165" fontId="13" fillId="33" borderId="44" xfId="3" applyNumberFormat="1" applyFont="1" applyFill="1" applyBorder="1" applyAlignment="1">
      <alignment vertical="center"/>
    </xf>
    <xf numFmtId="166" fontId="16" fillId="33" borderId="15" xfId="1" applyNumberFormat="1" applyFont="1" applyFill="1" applyBorder="1" applyAlignment="1">
      <alignment horizontal="left"/>
    </xf>
    <xf numFmtId="166" fontId="11" fillId="0" borderId="15" xfId="1" applyNumberFormat="1" applyFont="1" applyFill="1" applyBorder="1" applyAlignment="1">
      <alignment horizontal="center"/>
    </xf>
    <xf numFmtId="166" fontId="11" fillId="33" borderId="15" xfId="1" applyNumberFormat="1" applyFont="1" applyFill="1" applyBorder="1" applyAlignment="1">
      <alignment horizontal="center"/>
    </xf>
    <xf numFmtId="166" fontId="11" fillId="33" borderId="22" xfId="1" applyNumberFormat="1" applyFont="1" applyFill="1" applyBorder="1" applyAlignment="1">
      <alignment horizontal="center"/>
    </xf>
    <xf numFmtId="166" fontId="11" fillId="0" borderId="70" xfId="1" applyNumberFormat="1" applyFont="1" applyFill="1" applyBorder="1" applyAlignment="1">
      <alignment horizontal="center"/>
    </xf>
    <xf numFmtId="166" fontId="14" fillId="33" borderId="28" xfId="1" applyNumberFormat="1" applyFont="1" applyFill="1" applyBorder="1" applyAlignment="1">
      <alignment horizontal="left" vertical="center"/>
    </xf>
    <xf numFmtId="166" fontId="15" fillId="0" borderId="29" xfId="1" applyNumberFormat="1" applyFont="1" applyFill="1" applyBorder="1" applyAlignment="1">
      <alignment horizontal="center" vertical="center"/>
    </xf>
    <xf numFmtId="166" fontId="15" fillId="33" borderId="29" xfId="1" applyNumberFormat="1" applyFont="1" applyFill="1" applyBorder="1" applyAlignment="1">
      <alignment horizontal="center" vertical="center"/>
    </xf>
    <xf numFmtId="166" fontId="15" fillId="33" borderId="67" xfId="1" applyNumberFormat="1" applyFont="1" applyFill="1" applyBorder="1" applyAlignment="1">
      <alignment horizontal="center" vertical="center"/>
    </xf>
    <xf numFmtId="3" fontId="11" fillId="0" borderId="40" xfId="0" applyNumberFormat="1" applyFont="1" applyBorder="1" applyAlignment="1">
      <alignment horizontal="center" vertical="center" wrapText="1"/>
    </xf>
    <xf numFmtId="166" fontId="15" fillId="0" borderId="76" xfId="1" applyNumberFormat="1" applyFont="1" applyFill="1" applyBorder="1" applyAlignment="1">
      <alignment horizontal="center" vertical="center"/>
    </xf>
    <xf numFmtId="166" fontId="62" fillId="0" borderId="40" xfId="1" applyNumberFormat="1" applyFont="1" applyFill="1" applyBorder="1" applyAlignment="1">
      <alignment horizontal="center" vertical="center"/>
    </xf>
    <xf numFmtId="166" fontId="15" fillId="33" borderId="16" xfId="1" applyNumberFormat="1" applyFont="1" applyFill="1" applyBorder="1" applyAlignment="1">
      <alignment horizontal="left"/>
    </xf>
    <xf numFmtId="166" fontId="14" fillId="33" borderId="16" xfId="1" applyNumberFormat="1" applyFont="1" applyFill="1" applyBorder="1" applyAlignment="1">
      <alignment horizontal="left" vertical="center"/>
    </xf>
    <xf numFmtId="166" fontId="15" fillId="33" borderId="32" xfId="1" applyNumberFormat="1" applyFont="1" applyFill="1" applyBorder="1" applyAlignment="1">
      <alignment horizontal="left"/>
    </xf>
    <xf numFmtId="166" fontId="15" fillId="0" borderId="33" xfId="1" applyNumberFormat="1" applyFont="1" applyFill="1" applyBorder="1" applyAlignment="1">
      <alignment horizontal="center"/>
    </xf>
    <xf numFmtId="166" fontId="3" fillId="33" borderId="33" xfId="1" applyNumberFormat="1" applyFont="1" applyFill="1" applyBorder="1" applyAlignment="1">
      <alignment horizontal="center" vertical="center"/>
    </xf>
    <xf numFmtId="166" fontId="3" fillId="33" borderId="68" xfId="1" applyNumberFormat="1" applyFont="1" applyFill="1" applyBorder="1" applyAlignment="1">
      <alignment horizontal="center" vertical="center"/>
    </xf>
    <xf numFmtId="3" fontId="11" fillId="0" borderId="42" xfId="0" applyNumberFormat="1" applyFont="1" applyBorder="1" applyAlignment="1">
      <alignment horizontal="center" vertical="center" wrapText="1"/>
    </xf>
    <xf numFmtId="166" fontId="15" fillId="33" borderId="77" xfId="1" applyNumberFormat="1" applyFont="1" applyFill="1" applyBorder="1" applyAlignment="1">
      <alignment horizontal="center"/>
    </xf>
    <xf numFmtId="166" fontId="62" fillId="0" borderId="78" xfId="1" applyNumberFormat="1" applyFont="1" applyFill="1" applyBorder="1" applyAlignment="1">
      <alignment horizontal="center" vertical="center"/>
    </xf>
    <xf numFmtId="166" fontId="3" fillId="38" borderId="17" xfId="1" applyNumberFormat="1" applyFont="1" applyFill="1" applyBorder="1" applyAlignment="1">
      <alignment horizontal="center" vertical="center"/>
    </xf>
    <xf numFmtId="166" fontId="3" fillId="38" borderId="24" xfId="1" applyNumberFormat="1" applyFont="1" applyFill="1" applyBorder="1" applyAlignment="1">
      <alignment horizontal="center" vertical="center"/>
    </xf>
    <xf numFmtId="169" fontId="3" fillId="0" borderId="0" xfId="7" applyNumberFormat="1" applyFont="1"/>
    <xf numFmtId="0" fontId="3" fillId="0" borderId="0" xfId="0" applyFont="1" applyAlignment="1">
      <alignment horizontal="center"/>
    </xf>
    <xf numFmtId="0" fontId="22" fillId="39" borderId="30" xfId="0" applyFont="1" applyFill="1" applyBorder="1" applyAlignment="1">
      <alignment horizontal="center" vertical="center" wrapText="1"/>
    </xf>
    <xf numFmtId="0" fontId="63" fillId="0" borderId="23" xfId="0" applyFont="1" applyBorder="1" applyAlignment="1">
      <alignment horizontal="center"/>
    </xf>
    <xf numFmtId="3" fontId="63" fillId="0" borderId="23" xfId="0" applyNumberFormat="1" applyFont="1" applyBorder="1" applyAlignment="1">
      <alignment horizontal="center"/>
    </xf>
    <xf numFmtId="3" fontId="3" fillId="0" borderId="23" xfId="0" applyNumberFormat="1" applyFont="1" applyBorder="1" applyAlignment="1">
      <alignment horizontal="center"/>
    </xf>
    <xf numFmtId="166" fontId="3" fillId="0" borderId="23" xfId="0" applyNumberFormat="1" applyFont="1" applyBorder="1" applyAlignment="1">
      <alignment horizontal="center"/>
    </xf>
    <xf numFmtId="165" fontId="22" fillId="0" borderId="23" xfId="0" applyNumberFormat="1" applyFont="1" applyBorder="1" applyAlignment="1">
      <alignment horizontal="center"/>
    </xf>
    <xf numFmtId="165" fontId="15" fillId="0" borderId="23" xfId="0" applyNumberFormat="1" applyFont="1" applyBorder="1" applyAlignment="1">
      <alignment horizontal="center"/>
    </xf>
    <xf numFmtId="165" fontId="3" fillId="0" borderId="23" xfId="0" applyNumberFormat="1" applyFont="1" applyBorder="1" applyAlignment="1">
      <alignment horizontal="center"/>
    </xf>
    <xf numFmtId="1" fontId="3" fillId="0" borderId="23" xfId="0" applyNumberFormat="1" applyFont="1" applyBorder="1" applyAlignment="1">
      <alignment horizontal="center"/>
    </xf>
    <xf numFmtId="166" fontId="67" fillId="0" borderId="23" xfId="49" applyNumberFormat="1" applyFont="1" applyFill="1" applyBorder="1" applyAlignment="1">
      <alignment horizontal="center"/>
    </xf>
    <xf numFmtId="166" fontId="3" fillId="0" borderId="23" xfId="49" applyNumberFormat="1" applyFont="1" applyFill="1" applyBorder="1" applyAlignment="1">
      <alignment horizontal="center"/>
    </xf>
    <xf numFmtId="166" fontId="22" fillId="40" borderId="23" xfId="49" applyNumberFormat="1" applyFont="1" applyFill="1" applyBorder="1" applyAlignment="1">
      <alignment horizontal="center"/>
    </xf>
    <xf numFmtId="166" fontId="65" fillId="0" borderId="23" xfId="49" applyNumberFormat="1" applyFont="1" applyFill="1" applyBorder="1" applyAlignment="1">
      <alignment horizontal="center"/>
    </xf>
    <xf numFmtId="166" fontId="65" fillId="0" borderId="24" xfId="49" applyNumberFormat="1" applyFont="1" applyFill="1" applyBorder="1" applyAlignment="1">
      <alignment horizontal="center"/>
    </xf>
    <xf numFmtId="166" fontId="65" fillId="0" borderId="20" xfId="49" applyNumberFormat="1" applyFont="1" applyFill="1" applyBorder="1" applyAlignment="1">
      <alignment horizontal="center"/>
    </xf>
    <xf numFmtId="166" fontId="3" fillId="0" borderId="22" xfId="49" applyNumberFormat="1" applyFont="1" applyFill="1" applyBorder="1" applyAlignment="1">
      <alignment horizontal="center"/>
    </xf>
    <xf numFmtId="166" fontId="9" fillId="0" borderId="23" xfId="49" applyNumberFormat="1" applyFont="1" applyFill="1" applyBorder="1" applyAlignment="1">
      <alignment horizontal="center"/>
    </xf>
    <xf numFmtId="166" fontId="3" fillId="0" borderId="24" xfId="49" applyNumberFormat="1" applyFont="1" applyFill="1" applyBorder="1" applyAlignment="1">
      <alignment horizontal="center"/>
    </xf>
    <xf numFmtId="166" fontId="22" fillId="34" borderId="23" xfId="49" applyNumberFormat="1" applyFont="1" applyFill="1" applyBorder="1" applyAlignment="1">
      <alignment horizontal="center"/>
    </xf>
    <xf numFmtId="166" fontId="3" fillId="34" borderId="23" xfId="49" applyNumberFormat="1" applyFont="1" applyFill="1" applyBorder="1" applyAlignment="1">
      <alignment horizontal="center"/>
    </xf>
    <xf numFmtId="166" fontId="17" fillId="0" borderId="23" xfId="49" applyNumberFormat="1" applyFont="1" applyFill="1" applyBorder="1" applyAlignment="1">
      <alignment horizontal="center"/>
    </xf>
    <xf numFmtId="166" fontId="22" fillId="0" borderId="23" xfId="49" applyNumberFormat="1" applyFont="1" applyFill="1" applyBorder="1" applyAlignment="1">
      <alignment horizontal="center"/>
    </xf>
    <xf numFmtId="166" fontId="22" fillId="34" borderId="68" xfId="49" applyNumberFormat="1" applyFont="1" applyFill="1" applyBorder="1" applyAlignment="1">
      <alignment horizontal="center"/>
    </xf>
    <xf numFmtId="166" fontId="9" fillId="0" borderId="0" xfId="0" applyNumberFormat="1" applyFont="1" applyAlignment="1">
      <alignment horizontal="center"/>
    </xf>
    <xf numFmtId="1" fontId="30" fillId="0" borderId="0" xfId="0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0" fontId="68" fillId="0" borderId="0" xfId="0" applyFont="1" applyAlignment="1">
      <alignment horizontal="center"/>
    </xf>
    <xf numFmtId="166" fontId="22" fillId="41" borderId="23" xfId="49" applyNumberFormat="1" applyFont="1" applyFill="1" applyBorder="1" applyAlignment="1">
      <alignment horizontal="center"/>
    </xf>
    <xf numFmtId="166" fontId="37" fillId="33" borderId="57" xfId="1" applyNumberFormat="1" applyFont="1" applyFill="1" applyBorder="1" applyAlignment="1">
      <alignment horizontal="center" vertical="center"/>
    </xf>
    <xf numFmtId="166" fontId="37" fillId="42" borderId="41" xfId="1" applyNumberFormat="1" applyFont="1" applyFill="1" applyBorder="1" applyAlignment="1">
      <alignment horizontal="center" vertical="center"/>
    </xf>
    <xf numFmtId="3" fontId="11" fillId="42" borderId="41" xfId="0" applyNumberFormat="1" applyFont="1" applyFill="1" applyBorder="1" applyAlignment="1">
      <alignment horizontal="center" vertical="center" wrapText="1"/>
    </xf>
    <xf numFmtId="165" fontId="5" fillId="33" borderId="73" xfId="3" applyNumberFormat="1" applyFont="1" applyFill="1" applyBorder="1" applyAlignment="1">
      <alignment vertical="top" wrapText="1"/>
    </xf>
    <xf numFmtId="0" fontId="6" fillId="33" borderId="74" xfId="0" applyFont="1" applyFill="1" applyBorder="1" applyAlignment="1">
      <alignment horizontal="center" vertical="top"/>
    </xf>
    <xf numFmtId="0" fontId="7" fillId="33" borderId="74" xfId="0" applyFont="1" applyFill="1" applyBorder="1" applyAlignment="1">
      <alignment horizontal="center" vertical="top" wrapText="1"/>
    </xf>
    <xf numFmtId="3" fontId="5" fillId="33" borderId="74" xfId="0" applyNumberFormat="1" applyFont="1" applyFill="1" applyBorder="1" applyAlignment="1">
      <alignment horizontal="center" vertical="top" wrapText="1"/>
    </xf>
    <xf numFmtId="3" fontId="7" fillId="33" borderId="74" xfId="0" applyNumberFormat="1" applyFont="1" applyFill="1" applyBorder="1" applyAlignment="1">
      <alignment horizontal="center" vertical="top" wrapText="1"/>
    </xf>
    <xf numFmtId="3" fontId="7" fillId="33" borderId="75" xfId="0" applyNumberFormat="1" applyFont="1" applyFill="1" applyBorder="1" applyAlignment="1">
      <alignment horizontal="center" vertical="top" wrapText="1"/>
    </xf>
    <xf numFmtId="0" fontId="5" fillId="33" borderId="61" xfId="0" applyFont="1" applyFill="1" applyBorder="1" applyAlignment="1">
      <alignment horizontal="center" vertical="top" wrapText="1"/>
    </xf>
    <xf numFmtId="0" fontId="7" fillId="33" borderId="39" xfId="0" applyFont="1" applyFill="1" applyBorder="1" applyAlignment="1">
      <alignment horizontal="center" vertical="top" wrapText="1"/>
    </xf>
    <xf numFmtId="166" fontId="15" fillId="0" borderId="57" xfId="1" applyNumberFormat="1" applyFont="1" applyFill="1" applyBorder="1" applyAlignment="1">
      <alignment horizontal="center" vertical="center"/>
    </xf>
    <xf numFmtId="166" fontId="15" fillId="0" borderId="57" xfId="1" applyNumberFormat="1" applyFont="1" applyFill="1" applyBorder="1" applyAlignment="1">
      <alignment horizontal="center"/>
    </xf>
    <xf numFmtId="166" fontId="15" fillId="0" borderId="57" xfId="2" applyNumberFormat="1" applyFont="1" applyFill="1" applyBorder="1" applyAlignment="1">
      <alignment horizontal="center"/>
    </xf>
    <xf numFmtId="0" fontId="22" fillId="33" borderId="0" xfId="0" applyFont="1" applyFill="1" applyAlignment="1">
      <alignment horizontal="center"/>
    </xf>
    <xf numFmtId="0" fontId="3" fillId="33" borderId="0" xfId="0" applyFont="1" applyFill="1" applyAlignment="1">
      <alignment horizontal="center"/>
    </xf>
    <xf numFmtId="167" fontId="69" fillId="0" borderId="48" xfId="7" applyNumberFormat="1" applyFont="1" applyBorder="1" applyAlignment="1">
      <alignment horizontal="right" vertical="top" wrapText="1"/>
    </xf>
    <xf numFmtId="0" fontId="69" fillId="0" borderId="47" xfId="7" applyFont="1" applyBorder="1" applyAlignment="1">
      <alignment horizontal="left" vertical="top" wrapText="1"/>
    </xf>
    <xf numFmtId="0" fontId="69" fillId="0" borderId="49" xfId="7" applyFont="1" applyBorder="1" applyAlignment="1">
      <alignment horizontal="left" vertical="top" wrapText="1"/>
    </xf>
    <xf numFmtId="167" fontId="69" fillId="0" borderId="47" xfId="7" applyNumberFormat="1" applyFont="1" applyBorder="1" applyAlignment="1">
      <alignment horizontal="right" vertical="top" wrapText="1"/>
    </xf>
    <xf numFmtId="167" fontId="59" fillId="0" borderId="50" xfId="7" applyNumberFormat="1" applyFont="1" applyBorder="1" applyAlignment="1">
      <alignment horizontal="right" vertical="top" wrapText="1"/>
    </xf>
    <xf numFmtId="0" fontId="59" fillId="0" borderId="0" xfId="7" applyFont="1" applyAlignment="1">
      <alignment horizontal="left" vertical="top" wrapText="1"/>
    </xf>
    <xf numFmtId="0" fontId="69" fillId="0" borderId="0" xfId="7" applyFont="1" applyAlignment="1">
      <alignment horizontal="center" vertical="top" wrapText="1"/>
    </xf>
    <xf numFmtId="0" fontId="59" fillId="0" borderId="0" xfId="7" applyFont="1" applyAlignment="1">
      <alignment horizontal="center" vertical="top" wrapText="1"/>
    </xf>
    <xf numFmtId="0" fontId="70" fillId="0" borderId="0" xfId="7" applyFont="1" applyAlignment="1">
      <alignment horizontal="center" vertical="top" wrapText="1"/>
    </xf>
    <xf numFmtId="0" fontId="69" fillId="37" borderId="62" xfId="7" applyFont="1" applyFill="1" applyBorder="1" applyAlignment="1">
      <alignment horizontal="left" vertical="top" wrapText="1"/>
    </xf>
    <xf numFmtId="0" fontId="69" fillId="37" borderId="63" xfId="7" applyFont="1" applyFill="1" applyBorder="1" applyAlignment="1">
      <alignment horizontal="left" vertical="top" wrapText="1"/>
    </xf>
    <xf numFmtId="0" fontId="69" fillId="37" borderId="46" xfId="7" applyFont="1" applyFill="1" applyBorder="1" applyAlignment="1">
      <alignment horizontal="right" vertical="top" wrapText="1"/>
    </xf>
    <xf numFmtId="0" fontId="69" fillId="37" borderId="64" xfId="7" applyFont="1" applyFill="1" applyBorder="1" applyAlignment="1">
      <alignment horizontal="right" vertical="top" wrapText="1"/>
    </xf>
    <xf numFmtId="0" fontId="69" fillId="37" borderId="65" xfId="7" applyFont="1" applyFill="1" applyBorder="1" applyAlignment="1">
      <alignment horizontal="center" vertical="top" wrapText="1"/>
    </xf>
    <xf numFmtId="0" fontId="59" fillId="0" borderId="47" xfId="7" applyFont="1" applyBorder="1" applyAlignment="1">
      <alignment horizontal="left" vertical="top" wrapText="1"/>
    </xf>
    <xf numFmtId="0" fontId="59" fillId="0" borderId="49" xfId="7" applyFont="1" applyBorder="1" applyAlignment="1">
      <alignment horizontal="left" vertical="top" wrapText="1"/>
    </xf>
    <xf numFmtId="167" fontId="69" fillId="0" borderId="50" xfId="7" applyNumberFormat="1" applyFont="1" applyBorder="1" applyAlignment="1">
      <alignment horizontal="right" vertical="top" wrapText="1"/>
    </xf>
    <xf numFmtId="167" fontId="59" fillId="0" borderId="47" xfId="7" applyNumberFormat="1" applyFont="1" applyBorder="1" applyAlignment="1">
      <alignment horizontal="right" vertical="top" wrapText="1"/>
    </xf>
    <xf numFmtId="167" fontId="59" fillId="0" borderId="48" xfId="7" applyNumberFormat="1" applyFont="1" applyBorder="1" applyAlignment="1">
      <alignment horizontal="right" vertical="top" wrapText="1"/>
    </xf>
    <xf numFmtId="0" fontId="69" fillId="37" borderId="65" xfId="7" applyFont="1" applyFill="1" applyBorder="1" applyAlignment="1">
      <alignment horizontal="right" vertical="top" wrapText="1"/>
    </xf>
    <xf numFmtId="0" fontId="69" fillId="37" borderId="66" xfId="7" applyFont="1" applyFill="1" applyBorder="1" applyAlignment="1">
      <alignment horizontal="right" vertical="top" wrapText="1"/>
    </xf>
    <xf numFmtId="0" fontId="59" fillId="0" borderId="46" xfId="7" applyFont="1" applyBorder="1" applyAlignment="1">
      <alignment horizontal="left" vertical="top" wrapText="1"/>
    </xf>
    <xf numFmtId="168" fontId="69" fillId="0" borderId="47" xfId="7" applyNumberFormat="1" applyFont="1" applyBorder="1" applyAlignment="1">
      <alignment horizontal="right" vertical="top" wrapText="1"/>
    </xf>
    <xf numFmtId="167" fontId="59" fillId="0" borderId="46" xfId="7" applyNumberFormat="1" applyFont="1" applyBorder="1" applyAlignment="1">
      <alignment horizontal="right" vertical="top" wrapText="1"/>
    </xf>
    <xf numFmtId="0" fontId="53" fillId="35" borderId="26" xfId="0" applyFont="1" applyFill="1" applyBorder="1" applyAlignment="1">
      <alignment horizontal="center"/>
    </xf>
    <xf numFmtId="0" fontId="53" fillId="35" borderId="35" xfId="0" applyFont="1" applyFill="1" applyBorder="1" applyAlignment="1">
      <alignment horizontal="center"/>
    </xf>
    <xf numFmtId="0" fontId="53" fillId="35" borderId="36" xfId="0" applyFont="1" applyFill="1" applyBorder="1" applyAlignment="1">
      <alignment horizontal="center"/>
    </xf>
    <xf numFmtId="0" fontId="53" fillId="35" borderId="37" xfId="0" applyFont="1" applyFill="1" applyBorder="1" applyAlignment="1">
      <alignment horizontal="center"/>
    </xf>
    <xf numFmtId="0" fontId="53" fillId="35" borderId="38" xfId="0" applyFont="1" applyFill="1" applyBorder="1" applyAlignment="1">
      <alignment horizontal="center"/>
    </xf>
    <xf numFmtId="0" fontId="53" fillId="35" borderId="39" xfId="0" applyFont="1" applyFill="1" applyBorder="1" applyAlignment="1">
      <alignment horizontal="center"/>
    </xf>
    <xf numFmtId="0" fontId="53" fillId="35" borderId="29" xfId="0" applyFont="1" applyFill="1" applyBorder="1" applyAlignment="1">
      <alignment horizontal="center" vertical="distributed"/>
    </xf>
    <xf numFmtId="0" fontId="53" fillId="35" borderId="28" xfId="0" applyFont="1" applyFill="1" applyBorder="1" applyAlignment="1">
      <alignment horizontal="center" vertical="distributed"/>
    </xf>
    <xf numFmtId="0" fontId="53" fillId="35" borderId="32" xfId="0" applyFont="1" applyFill="1" applyBorder="1" applyAlignment="1">
      <alignment horizontal="center" vertical="distributed"/>
    </xf>
    <xf numFmtId="0" fontId="53" fillId="35" borderId="30" xfId="0" applyFont="1" applyFill="1" applyBorder="1" applyAlignment="1">
      <alignment horizontal="center" vertical="distributed"/>
    </xf>
    <xf numFmtId="0" fontId="22" fillId="0" borderId="0" xfId="7" applyFont="1" applyAlignment="1">
      <alignment horizontal="center"/>
    </xf>
    <xf numFmtId="14" fontId="22" fillId="0" borderId="0" xfId="7" applyNumberFormat="1" applyFont="1" applyAlignment="1">
      <alignment horizontal="center"/>
    </xf>
    <xf numFmtId="0" fontId="3" fillId="0" borderId="0" xfId="0" applyFont="1" applyFill="1" applyAlignment="1">
      <alignment horizontal="center"/>
    </xf>
    <xf numFmtId="0" fontId="7" fillId="0" borderId="61" xfId="0" applyFont="1" applyFill="1" applyBorder="1" applyAlignment="1">
      <alignment horizontal="center" vertical="top" wrapText="1"/>
    </xf>
    <xf numFmtId="3" fontId="9" fillId="0" borderId="25" xfId="0" applyNumberFormat="1" applyFont="1" applyFill="1" applyBorder="1" applyAlignment="1">
      <alignment horizontal="center" vertical="center" wrapText="1"/>
    </xf>
    <xf numFmtId="166" fontId="3" fillId="0" borderId="57" xfId="1" applyNumberFormat="1" applyFont="1" applyFill="1" applyBorder="1" applyAlignment="1">
      <alignment horizontal="center" vertical="center"/>
    </xf>
    <xf numFmtId="166" fontId="11" fillId="0" borderId="41" xfId="1" applyNumberFormat="1" applyFont="1" applyFill="1" applyBorder="1" applyAlignment="1">
      <alignment horizontal="center"/>
    </xf>
    <xf numFmtId="166" fontId="11" fillId="0" borderId="56" xfId="1" applyNumberFormat="1" applyFont="1" applyFill="1" applyBorder="1" applyAlignment="1">
      <alignment horizontal="center"/>
    </xf>
    <xf numFmtId="166" fontId="11" fillId="0" borderId="25" xfId="1" applyNumberFormat="1" applyFont="1" applyFill="1" applyBorder="1" applyAlignment="1">
      <alignment horizontal="center" vertical="center"/>
    </xf>
    <xf numFmtId="38" fontId="61" fillId="0" borderId="25" xfId="0" applyNumberFormat="1" applyFont="1" applyFill="1" applyBorder="1" applyAlignment="1">
      <alignment vertical="center"/>
    </xf>
    <xf numFmtId="166" fontId="3" fillId="0" borderId="57" xfId="1" applyNumberFormat="1" applyFont="1" applyFill="1" applyBorder="1" applyAlignment="1">
      <alignment horizontal="center"/>
    </xf>
    <xf numFmtId="166" fontId="15" fillId="0" borderId="56" xfId="1" applyNumberFormat="1" applyFont="1" applyFill="1" applyBorder="1" applyAlignment="1">
      <alignment horizontal="center"/>
    </xf>
    <xf numFmtId="166" fontId="11" fillId="0" borderId="57" xfId="1" applyNumberFormat="1" applyFont="1" applyFill="1" applyBorder="1" applyAlignment="1">
      <alignment horizontal="center" vertical="center"/>
    </xf>
    <xf numFmtId="166" fontId="15" fillId="0" borderId="25" xfId="1" applyNumberFormat="1" applyFont="1" applyFill="1" applyBorder="1" applyAlignment="1">
      <alignment horizontal="center" vertical="center"/>
    </xf>
    <xf numFmtId="166" fontId="15" fillId="0" borderId="40" xfId="1" applyNumberFormat="1" applyFont="1" applyFill="1" applyBorder="1" applyAlignment="1">
      <alignment horizontal="center" vertical="center"/>
    </xf>
    <xf numFmtId="166" fontId="15" fillId="0" borderId="78" xfId="1" applyNumberFormat="1" applyFont="1" applyFill="1" applyBorder="1" applyAlignment="1">
      <alignment horizontal="center"/>
    </xf>
    <xf numFmtId="166" fontId="11" fillId="0" borderId="57" xfId="1" applyNumberFormat="1" applyFont="1" applyFill="1" applyBorder="1" applyAlignment="1">
      <alignment horizontal="center"/>
    </xf>
    <xf numFmtId="166" fontId="11" fillId="0" borderId="67" xfId="1" applyNumberFormat="1" applyFont="1" applyFill="1" applyBorder="1" applyAlignment="1">
      <alignment horizontal="center" vertical="center"/>
    </xf>
    <xf numFmtId="166" fontId="15" fillId="0" borderId="41" xfId="1" applyNumberFormat="1" applyFont="1" applyFill="1" applyBorder="1" applyAlignment="1">
      <alignment horizontal="center" vertical="center"/>
    </xf>
    <xf numFmtId="166" fontId="11" fillId="0" borderId="41" xfId="1" applyNumberFormat="1" applyFont="1" applyFill="1" applyBorder="1" applyAlignment="1">
      <alignment horizontal="center" vertical="center"/>
    </xf>
    <xf numFmtId="166" fontId="15" fillId="0" borderId="41" xfId="1" applyNumberFormat="1" applyFont="1" applyFill="1" applyBorder="1" applyAlignment="1">
      <alignment horizontal="center"/>
    </xf>
    <xf numFmtId="166" fontId="11" fillId="0" borderId="42" xfId="1" applyNumberFormat="1" applyFont="1" applyFill="1" applyBorder="1" applyAlignment="1">
      <alignment horizontal="center" vertical="center"/>
    </xf>
    <xf numFmtId="165" fontId="15" fillId="0" borderId="0" xfId="0" applyNumberFormat="1" applyFont="1" applyFill="1" applyAlignment="1">
      <alignment horizontal="center" vertical="center" wrapText="1"/>
    </xf>
    <xf numFmtId="166" fontId="29" fillId="0" borderId="0" xfId="1" applyNumberFormat="1" applyFont="1" applyFill="1" applyAlignment="1">
      <alignment horizontal="center"/>
    </xf>
  </cellXfs>
  <cellStyles count="50">
    <cellStyle name="20% - Accent1 2" xfId="26" xr:uid="{CA631C7E-645E-4AF3-B691-57E61BB62C80}"/>
    <cellStyle name="20% - Accent2 2" xfId="30" xr:uid="{0F97F7E2-AF1D-4270-B295-1D7F1C71E52F}"/>
    <cellStyle name="20% - Accent3 2" xfId="34" xr:uid="{E36AB6F3-2B41-46F6-BBA2-A9E79AF59FAD}"/>
    <cellStyle name="20% - Accent4 2" xfId="38" xr:uid="{0DD429FA-1151-4278-98FB-91E8E0369B32}"/>
    <cellStyle name="20% - Accent5 2" xfId="42" xr:uid="{40390319-A96D-4534-8B69-E1093D71044C}"/>
    <cellStyle name="20% - Accent6 2" xfId="46" xr:uid="{8A475653-2B8B-4D36-84CB-53AC8D75E13D}"/>
    <cellStyle name="40% - Accent1 2" xfId="27" xr:uid="{C31A11F4-D187-4B92-ADBA-A40CACB9ECC0}"/>
    <cellStyle name="40% - Accent2 2" xfId="31" xr:uid="{AE608AC1-16E0-4BA0-A43A-204DC6AB0FB5}"/>
    <cellStyle name="40% - Accent3 2" xfId="35" xr:uid="{0104F1B9-807A-4A98-863E-82696A726ACD}"/>
    <cellStyle name="40% - Accent4 2" xfId="39" xr:uid="{EA1F4224-C912-41E6-9B29-F05002ACD90E}"/>
    <cellStyle name="40% - Accent5 2" xfId="43" xr:uid="{E7C99386-6F36-4DDD-B19A-9802C92F06D2}"/>
    <cellStyle name="40% - Accent6 2" xfId="47" xr:uid="{2DAFDBA0-F9C9-4CBF-A72D-4F66CFD13724}"/>
    <cellStyle name="60% - Accent1 2" xfId="28" xr:uid="{D7DB5DEC-909C-43CA-94B0-848A20A0F771}"/>
    <cellStyle name="60% - Accent2 2" xfId="32" xr:uid="{F430E665-31B4-4A99-A862-3EAB577221EE}"/>
    <cellStyle name="60% - Accent3 2" xfId="36" xr:uid="{7B870CD5-53BF-446B-AEA2-9BF401CEAF8E}"/>
    <cellStyle name="60% - Accent4 2" xfId="40" xr:uid="{4C62D6E6-EC25-43E6-9B58-AAC223E66919}"/>
    <cellStyle name="60% - Accent5 2" xfId="44" xr:uid="{2EF3B259-FD25-4B27-8163-AD7F8E7FEF37}"/>
    <cellStyle name="60% - Accent6 2" xfId="48" xr:uid="{3DCF09F4-AD1A-4D1E-90CA-433A10D254F3}"/>
    <cellStyle name="Accent1 2" xfId="25" xr:uid="{030D0C4C-EA76-48DC-A862-DB4F001136CD}"/>
    <cellStyle name="Accent2 2" xfId="29" xr:uid="{6F45EEA8-B1C6-49CF-8806-6FE315C5D96F}"/>
    <cellStyle name="Accent3 2" xfId="33" xr:uid="{12C0993B-E197-4906-B631-005AD019C6D5}"/>
    <cellStyle name="Accent4 2" xfId="37" xr:uid="{0AFE2929-44FA-449C-8C8E-0CE9526291A6}"/>
    <cellStyle name="Accent5 2" xfId="41" xr:uid="{C7AFC5F9-6B1A-4C56-8737-8E7F78BBCCE6}"/>
    <cellStyle name="Accent6 2" xfId="45" xr:uid="{62BA6FFF-F221-4766-B52C-C15439BD9463}"/>
    <cellStyle name="Bad 2" xfId="14" xr:uid="{B8E742C9-F843-4934-9A0D-C5F3C4BE211B}"/>
    <cellStyle name="Calculation 2" xfId="18" xr:uid="{A28CD12A-D27D-4526-8FEF-D1C1B153A566}"/>
    <cellStyle name="Check Cell 2" xfId="20" xr:uid="{FCCE54A8-EF6F-4276-8B7B-501F3C1FBC2E}"/>
    <cellStyle name="Comma 2" xfId="49" xr:uid="{0371B526-CD2B-4A3E-AFCD-D04C7264C12D}"/>
    <cellStyle name="Explanatory Text 2" xfId="23" xr:uid="{D6DC1F74-3C00-470A-BC8F-EEC12E68B56D}"/>
    <cellStyle name="Good 2" xfId="13" xr:uid="{1A72E4DA-3A8B-45FF-BCE9-1067D3648E7F}"/>
    <cellStyle name="Heading 1 2" xfId="9" xr:uid="{42C2468B-C0CF-4B1F-B5B8-649B87704262}"/>
    <cellStyle name="Heading 2 2" xfId="10" xr:uid="{0FEEE071-4A26-49A2-AAC9-486D8C039E3A}"/>
    <cellStyle name="Heading 3 2" xfId="11" xr:uid="{256809E8-22B9-4057-BEBA-459E40832C80}"/>
    <cellStyle name="Heading 4 2" xfId="12" xr:uid="{B2C75AD0-C57D-4576-84C6-5DC6D2FCDA88}"/>
    <cellStyle name="Hipersaitas" xfId="4" builtinId="8"/>
    <cellStyle name="Input 2" xfId="16" xr:uid="{BFE4B5AB-1D5F-4B0C-83E7-D413A3D82254}"/>
    <cellStyle name="Įprastas" xfId="0" builtinId="0"/>
    <cellStyle name="Kablelis" xfId="1" builtinId="3"/>
    <cellStyle name="Linked Cell 2" xfId="19" xr:uid="{83BB749F-C477-4868-B47D-D6EC27507F10}"/>
    <cellStyle name="Neutral 2" xfId="15" xr:uid="{F3D48C6F-9D18-42B8-A412-37A1C9DB7E6A}"/>
    <cellStyle name="Normal 16" xfId="6" xr:uid="{F3825975-6244-4640-BE46-8A6E63724A0A}"/>
    <cellStyle name="Normal 17" xfId="5" xr:uid="{94372ACA-573F-45BF-95D9-DF16A1D172D9}"/>
    <cellStyle name="Normal 2" xfId="3" xr:uid="{CB2A45B9-FE4F-4411-9138-08E07390B0C3}"/>
    <cellStyle name="Normal 3" xfId="7" xr:uid="{BD0D3FE8-FFAC-4624-BF5F-415DCC7CCA75}"/>
    <cellStyle name="Note 2" xfId="22" xr:uid="{05AD296B-1F4D-4BEB-B090-E1776CB1EB7D}"/>
    <cellStyle name="Output 2" xfId="17" xr:uid="{2D05E3F7-5059-49D1-9B3E-89ED8BE5D9EA}"/>
    <cellStyle name="Paryškinimas 2" xfId="2" builtinId="33"/>
    <cellStyle name="Title 2" xfId="8" xr:uid="{DDFA5C37-5F2A-4EB8-98E1-91F09C9F1451}"/>
    <cellStyle name="Total 2" xfId="24" xr:uid="{61AEE384-3D67-4346-AE09-438264D3CE27}"/>
    <cellStyle name="Warning Text 2" xfId="21" xr:uid="{E15571AD-EC88-414D-B7C5-DB900B9CB6CF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name val="Cambria"/>
        <family val="1"/>
        <charset val="186"/>
        <scheme val="none"/>
      </font>
      <fill>
        <patternFill patternType="solid">
          <fgColor indexed="64"/>
          <bgColor theme="0"/>
        </patternFill>
      </fill>
      <alignment horizontal="left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7"/>
        <name val="Cambria"/>
        <family val="1"/>
        <charset val="186"/>
        <scheme val="none"/>
      </font>
      <fill>
        <patternFill patternType="solid">
          <fgColor indexed="64"/>
          <bgColor theme="0"/>
        </patternFill>
      </fill>
      <alignment horizontal="general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Cambria"/>
        <family val="1"/>
        <charset val="186"/>
        <scheme val="none"/>
      </font>
      <fill>
        <patternFill patternType="solid">
          <fgColor indexed="64"/>
          <bgColor theme="0"/>
        </patternFill>
      </fill>
    </dxf>
    <dxf>
      <border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Cambria"/>
        <family val="1"/>
        <charset val="186"/>
        <scheme val="none"/>
      </font>
      <fill>
        <patternFill patternType="solid">
          <fgColor indexed="64"/>
          <bgColor theme="0"/>
        </patternFill>
      </fill>
      <alignment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onata\OneDrive%20-%20Baltoji%20Buhalterija\Darbalaukis\LINAVA%202024\Ataskaitos\2024\LINAVA_BIUDZETAS-PN_2024.01.01-2024.03.31_Detali.xlsm" TargetMode="External"/><Relationship Id="rId1" Type="http://schemas.openxmlformats.org/officeDocument/2006/relationships/externalLinkPath" Target="file:///\\PRAGMA-SRV\Tinklas\Users\Sonata\OneDrive%20-%20Baltoji%20Buhalterija\Darbalaukis\LINAVA%202024\Ataskaitos\2024\LINAVA_BIUDZETAS-PN_2024.01.01-2024.03.31_Detal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iudzetas"/>
      <sheetName val="PSA"/>
      <sheetName val="Macros instructions"/>
      <sheetName val="PN Originalus"/>
      <sheetName val="PN2"/>
      <sheetName val="Rivile Original"/>
      <sheetName val="PN"/>
      <sheetName val="Projektas Miller"/>
      <sheetName val="NeatsPVM"/>
      <sheetName val="Priteistos sumos"/>
      <sheetName val="Pardavimai"/>
      <sheetName val="Nario mok."/>
      <sheetName val="Rivile"/>
      <sheetName val="db"/>
      <sheetName val="DU-BIUD"/>
      <sheetName val="PVMproc"/>
    </sheetNames>
    <sheetDataSet>
      <sheetData sheetId="0" refreshError="1">
        <row r="2">
          <cell r="D2">
            <v>-50275.06</v>
          </cell>
          <cell r="G2">
            <v>-48860.150000000023</v>
          </cell>
        </row>
        <row r="15">
          <cell r="D15"/>
        </row>
        <row r="18">
          <cell r="D18">
            <v>1093.97</v>
          </cell>
          <cell r="G18">
            <v>579.29</v>
          </cell>
        </row>
        <row r="117">
          <cell r="D117">
            <v>8640.9599999999991</v>
          </cell>
          <cell r="G117">
            <v>8611.66</v>
          </cell>
        </row>
        <row r="135">
          <cell r="D135">
            <v>-50275.06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CC1F8C-5575-496F-B1C5-3679A090EADF}" name="Lentelė25893457861216212427293336103228279455591859103812651795" displayName="Lentelė25893457861216212427293336103228279455591859103812651795" ref="A5:B132" totalsRowShown="0" headerRowDxfId="21" dataDxfId="19" headerRowBorderDxfId="20">
  <tableColumns count="2">
    <tableColumn id="1" xr3:uid="{656376B4-7A9F-4FBF-A204-4B9DA1915738}" name="Nr." dataDxfId="18"/>
    <tableColumn id="2" xr3:uid="{6DC563E9-FEB1-4AA9-A5E2-940051FD6778}" name="Pavadinimas" dataDxfId="17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2C20A-3650-4D50-98C5-0C278760EBF9}">
  <dimension ref="A1:AH237"/>
  <sheetViews>
    <sheetView tabSelected="1" zoomScale="110" zoomScaleNormal="110" workbookViewId="0">
      <selection activeCell="T8" sqref="T8"/>
    </sheetView>
  </sheetViews>
  <sheetFormatPr defaultRowHeight="15" outlineLevelCol="1" x14ac:dyDescent="0.25"/>
  <cols>
    <col min="1" max="1" width="7.85546875" style="45" customWidth="1"/>
    <col min="2" max="2" width="56.28515625" style="45" customWidth="1"/>
    <col min="3" max="3" width="0.42578125" style="1" customWidth="1" outlineLevel="1"/>
    <col min="4" max="4" width="13.140625" style="1" hidden="1" customWidth="1" outlineLevel="1"/>
    <col min="5" max="6" width="13.28515625" style="1" hidden="1" customWidth="1" outlineLevel="1"/>
    <col min="7" max="7" width="13.85546875" style="1" hidden="1" customWidth="1" outlineLevel="1"/>
    <col min="8" max="8" width="13.140625" style="1" hidden="1" customWidth="1" outlineLevel="1"/>
    <col min="9" max="9" width="14" style="1" hidden="1" customWidth="1"/>
    <col min="10" max="10" width="16.28515625" style="45" hidden="1" customWidth="1"/>
    <col min="11" max="11" width="18.140625" style="1" customWidth="1"/>
    <col min="12" max="12" width="19" style="509" customWidth="1"/>
    <col min="13" max="13" width="19" style="1" hidden="1" customWidth="1"/>
    <col min="14" max="14" width="0.28515625" style="1" hidden="1" customWidth="1"/>
    <col min="15" max="15" width="0.140625" style="1" hidden="1" customWidth="1"/>
    <col min="16" max="16" width="11.42578125" style="79" hidden="1" customWidth="1" outlineLevel="1"/>
    <col min="17" max="17" width="10.28515625" style="79" hidden="1" customWidth="1" outlineLevel="1"/>
    <col min="18" max="18" width="9.140625" collapsed="1"/>
  </cols>
  <sheetData>
    <row r="1" spans="1:34" x14ac:dyDescent="0.25">
      <c r="A1" s="471" t="s">
        <v>210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6"/>
      <c r="AF1" s="85"/>
      <c r="AG1" s="85"/>
      <c r="AH1" s="85"/>
    </row>
    <row r="2" spans="1:34" x14ac:dyDescent="0.25">
      <c r="A2" s="471" t="s">
        <v>642</v>
      </c>
      <c r="B2" s="471"/>
      <c r="C2" s="471"/>
      <c r="D2" s="471"/>
      <c r="E2" s="471"/>
      <c r="F2" s="471"/>
      <c r="G2" s="471"/>
      <c r="H2" s="471"/>
      <c r="I2" s="471"/>
      <c r="J2" s="471"/>
      <c r="K2" s="471"/>
      <c r="L2" s="471"/>
      <c r="M2" s="471"/>
      <c r="N2" s="471"/>
      <c r="O2" s="471"/>
      <c r="P2" s="471"/>
      <c r="Q2" s="471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6"/>
      <c r="AF2" s="85"/>
      <c r="AG2" s="85"/>
      <c r="AH2" s="85"/>
    </row>
    <row r="3" spans="1:34" x14ac:dyDescent="0.25">
      <c r="A3" s="472" t="s">
        <v>640</v>
      </c>
      <c r="B3" s="472"/>
      <c r="C3" s="472"/>
      <c r="D3" s="472"/>
      <c r="E3" s="472"/>
      <c r="F3" s="472"/>
      <c r="G3" s="472"/>
      <c r="H3" s="472"/>
      <c r="I3" s="472"/>
      <c r="J3" s="472"/>
      <c r="K3" s="472"/>
      <c r="L3" s="472"/>
      <c r="M3" s="472"/>
      <c r="N3" s="472"/>
      <c r="O3" s="472"/>
      <c r="P3" s="472"/>
      <c r="Q3" s="472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87"/>
      <c r="AF3" s="45"/>
      <c r="AG3" s="45"/>
      <c r="AH3" s="45"/>
    </row>
    <row r="4" spans="1:34" ht="15.75" thickBot="1" x14ac:dyDescent="0.3">
      <c r="A4" s="1"/>
      <c r="B4" s="1"/>
      <c r="J4" s="1"/>
      <c r="P4" s="76"/>
      <c r="Q4" s="76"/>
    </row>
    <row r="5" spans="1:34" ht="50.1" customHeight="1" thickBot="1" x14ac:dyDescent="0.3">
      <c r="A5" s="460" t="s">
        <v>0</v>
      </c>
      <c r="B5" s="461" t="s">
        <v>1</v>
      </c>
      <c r="C5" s="462" t="s">
        <v>252</v>
      </c>
      <c r="D5" s="463" t="s">
        <v>253</v>
      </c>
      <c r="E5" s="463" t="s">
        <v>254</v>
      </c>
      <c r="F5" s="464" t="s">
        <v>255</v>
      </c>
      <c r="G5" s="464" t="s">
        <v>256</v>
      </c>
      <c r="H5" s="464" t="s">
        <v>257</v>
      </c>
      <c r="I5" s="465" t="s">
        <v>258</v>
      </c>
      <c r="J5" s="466" t="s">
        <v>565</v>
      </c>
      <c r="K5" s="467" t="s">
        <v>259</v>
      </c>
      <c r="L5" s="510" t="s">
        <v>566</v>
      </c>
      <c r="M5" s="218" t="s">
        <v>541</v>
      </c>
      <c r="N5" s="219" t="s">
        <v>558</v>
      </c>
      <c r="O5" s="220" t="s">
        <v>542</v>
      </c>
      <c r="P5" s="161" t="s">
        <v>208</v>
      </c>
      <c r="Q5" s="77" t="s">
        <v>209</v>
      </c>
      <c r="R5" s="185"/>
    </row>
    <row r="6" spans="1:34" ht="15.75" thickBot="1" x14ac:dyDescent="0.3">
      <c r="A6" s="221"/>
      <c r="B6" s="222" t="s">
        <v>2</v>
      </c>
      <c r="C6" s="223">
        <f>C7-C23</f>
        <v>19071.650000000023</v>
      </c>
      <c r="D6" s="223">
        <f>D7-D23</f>
        <v>-13205.309999999998</v>
      </c>
      <c r="E6" s="223">
        <f t="shared" ref="E6:I6" si="0">E7-E23</f>
        <v>69749.509999999995</v>
      </c>
      <c r="F6" s="223">
        <f t="shared" si="0"/>
        <v>56562.000000000029</v>
      </c>
      <c r="G6" s="223">
        <f t="shared" si="0"/>
        <v>-12675.5</v>
      </c>
      <c r="H6" s="223">
        <f t="shared" si="0"/>
        <v>7183.2200000000012</v>
      </c>
      <c r="I6" s="224">
        <f t="shared" si="0"/>
        <v>-16796.239999999998</v>
      </c>
      <c r="J6" s="225">
        <f>SUM(C6:I6)</f>
        <v>109889.33000000005</v>
      </c>
      <c r="K6" s="226">
        <f>+K7-K23+K133</f>
        <v>-60086</v>
      </c>
      <c r="L6" s="511">
        <f>+L7-L23</f>
        <v>-42451.599999999977</v>
      </c>
      <c r="M6" s="227">
        <f>+M7-M23</f>
        <v>16526.565714285825</v>
      </c>
      <c r="N6" s="228">
        <f>+M6-K6</f>
        <v>76612.565714285825</v>
      </c>
      <c r="O6" s="229">
        <f>+(M6-K6)/ ABS(K6)</f>
        <v>1.2750485256846158</v>
      </c>
      <c r="P6" s="162">
        <f t="shared" ref="P6:P16" si="1">J6-K6</f>
        <v>169975.33000000005</v>
      </c>
      <c r="Q6" s="82">
        <f t="shared" ref="Q6:Q16" si="2">J6/K6</f>
        <v>-1.8288674566454757</v>
      </c>
    </row>
    <row r="7" spans="1:34" ht="15.75" thickBot="1" x14ac:dyDescent="0.3">
      <c r="A7" s="254">
        <v>5</v>
      </c>
      <c r="B7" s="253" t="s">
        <v>3</v>
      </c>
      <c r="C7" s="2">
        <f>C8+C10+C11+C12+C13+C14+C15+C17+C21+C22+C133+C16</f>
        <v>100725.95000000001</v>
      </c>
      <c r="D7" s="2">
        <f t="shared" ref="D7:I7" si="3">D8+D10+D11+D12+D13+D14+D15+D17+D21+D22+D133+D16</f>
        <v>71061.31</v>
      </c>
      <c r="E7" s="2">
        <f t="shared" si="3"/>
        <v>157135.10999999999</v>
      </c>
      <c r="F7" s="2">
        <f t="shared" si="3"/>
        <v>147752.64000000001</v>
      </c>
      <c r="G7" s="2">
        <f t="shared" si="3"/>
        <v>62163.58</v>
      </c>
      <c r="H7" s="2">
        <f t="shared" si="3"/>
        <v>76021.61</v>
      </c>
      <c r="I7" s="2">
        <f t="shared" si="3"/>
        <v>57676.450000000004</v>
      </c>
      <c r="J7" s="216">
        <f>SUM(C7:I7)</f>
        <v>672536.64999999991</v>
      </c>
      <c r="K7" s="200">
        <f>K8+K10+K11+K12+K13+K14+K15+K17+K16</f>
        <v>842287</v>
      </c>
      <c r="L7" s="270">
        <f>L8+L10+L11+L12+L13+L14+L15+L17+L16+L133</f>
        <v>977000</v>
      </c>
      <c r="M7" s="2">
        <f t="shared" ref="M7" si="4">M8+M10+M11+M12+M13+M14+M15+M17+M21+M22+M133</f>
        <v>981064.82857142866</v>
      </c>
      <c r="N7" s="172">
        <f t="shared" ref="N7:N38" si="5">M7-K7</f>
        <v>138777.82857142866</v>
      </c>
      <c r="O7" s="217">
        <f>+M7/K7</f>
        <v>1.1647631134891416</v>
      </c>
      <c r="P7" s="163">
        <f t="shared" si="1"/>
        <v>-169750.35000000009</v>
      </c>
      <c r="Q7" s="84">
        <f t="shared" si="2"/>
        <v>0.7984649531572966</v>
      </c>
    </row>
    <row r="8" spans="1:34" x14ac:dyDescent="0.25">
      <c r="A8" s="3" t="s">
        <v>4</v>
      </c>
      <c r="B8" s="4" t="s">
        <v>5</v>
      </c>
      <c r="C8" s="5">
        <f>6434.75</f>
        <v>6434.75</v>
      </c>
      <c r="D8" s="5">
        <v>8181.36</v>
      </c>
      <c r="E8" s="5">
        <f>792+7870.2+87.4</f>
        <v>8749.6</v>
      </c>
      <c r="F8" s="5">
        <v>6031.65</v>
      </c>
      <c r="G8" s="5">
        <v>5233.45</v>
      </c>
      <c r="H8" s="5">
        <f>432+5700.85+64.6</f>
        <v>6197.4500000000007</v>
      </c>
      <c r="I8" s="56">
        <f>288+6306.25+57</f>
        <v>6651.25</v>
      </c>
      <c r="J8" s="230">
        <f t="shared" ref="J8:J72" si="6">SUM(C8:I8)</f>
        <v>47479.509999999995</v>
      </c>
      <c r="K8" s="201">
        <v>168287</v>
      </c>
      <c r="L8" s="512">
        <v>100000</v>
      </c>
      <c r="M8" s="186">
        <f t="shared" ref="M8:M19" si="7">(J8/7)*12</f>
        <v>81393.445714285714</v>
      </c>
      <c r="N8" s="244">
        <f t="shared" si="5"/>
        <v>-86893.554285714286</v>
      </c>
      <c r="O8" s="246">
        <f>+M8/K8</f>
        <v>0.48365854590245067</v>
      </c>
      <c r="P8" s="164">
        <f t="shared" si="1"/>
        <v>-120807.49</v>
      </c>
      <c r="Q8" s="83">
        <f t="shared" si="2"/>
        <v>0.28213415177642953</v>
      </c>
    </row>
    <row r="9" spans="1:34" x14ac:dyDescent="0.25">
      <c r="A9" s="6"/>
      <c r="B9" s="7" t="s">
        <v>6</v>
      </c>
      <c r="C9" s="68"/>
      <c r="D9" s="12"/>
      <c r="E9" s="12"/>
      <c r="F9" s="12"/>
      <c r="G9" s="12"/>
      <c r="H9" s="12"/>
      <c r="I9" s="57"/>
      <c r="J9" s="231"/>
      <c r="K9" s="202">
        <v>3500</v>
      </c>
      <c r="L9" s="468">
        <v>0</v>
      </c>
      <c r="M9" s="186">
        <f t="shared" si="7"/>
        <v>0</v>
      </c>
      <c r="N9" s="174">
        <f t="shared" si="5"/>
        <v>-3500</v>
      </c>
      <c r="O9" s="241"/>
      <c r="P9" s="165">
        <f t="shared" si="1"/>
        <v>-3500</v>
      </c>
      <c r="Q9" s="78">
        <f t="shared" si="2"/>
        <v>0</v>
      </c>
    </row>
    <row r="10" spans="1:34" x14ac:dyDescent="0.25">
      <c r="A10" s="8" t="s">
        <v>7</v>
      </c>
      <c r="B10" s="9" t="s">
        <v>8</v>
      </c>
      <c r="C10" s="88">
        <v>9165.4</v>
      </c>
      <c r="D10" s="26">
        <v>6944</v>
      </c>
      <c r="E10" s="26">
        <v>5278</v>
      </c>
      <c r="F10" s="26">
        <v>4247.8</v>
      </c>
      <c r="G10" s="26">
        <v>3516.6</v>
      </c>
      <c r="H10" s="26">
        <v>5900.4</v>
      </c>
      <c r="I10" s="58">
        <v>3005.4</v>
      </c>
      <c r="J10" s="231">
        <f t="shared" si="6"/>
        <v>38057.599999999999</v>
      </c>
      <c r="K10" s="203">
        <v>120000</v>
      </c>
      <c r="L10" s="469">
        <v>60000</v>
      </c>
      <c r="M10" s="186">
        <f t="shared" si="7"/>
        <v>65241.600000000006</v>
      </c>
      <c r="N10" s="174">
        <f t="shared" si="5"/>
        <v>-54758.399999999994</v>
      </c>
      <c r="O10" s="241">
        <f>+M10/K10</f>
        <v>0.54368000000000005</v>
      </c>
      <c r="P10" s="165">
        <f t="shared" si="1"/>
        <v>-81942.399999999994</v>
      </c>
      <c r="Q10" s="78">
        <f t="shared" si="2"/>
        <v>0.31714666666666663</v>
      </c>
    </row>
    <row r="11" spans="1:34" x14ac:dyDescent="0.25">
      <c r="A11" s="8" t="s">
        <v>9</v>
      </c>
      <c r="B11" s="10" t="s">
        <v>10</v>
      </c>
      <c r="C11" s="68">
        <v>5000</v>
      </c>
      <c r="D11" s="26">
        <v>5000</v>
      </c>
      <c r="E11" s="26">
        <v>5000</v>
      </c>
      <c r="F11" s="26">
        <v>5000</v>
      </c>
      <c r="G11" s="26">
        <v>5000</v>
      </c>
      <c r="H11" s="80">
        <v>5000</v>
      </c>
      <c r="I11" s="58">
        <v>5000</v>
      </c>
      <c r="J11" s="231">
        <f t="shared" si="6"/>
        <v>35000</v>
      </c>
      <c r="K11" s="202">
        <v>60000</v>
      </c>
      <c r="L11" s="468">
        <v>60000</v>
      </c>
      <c r="M11" s="186">
        <f t="shared" si="7"/>
        <v>60000</v>
      </c>
      <c r="N11" s="174">
        <f t="shared" si="5"/>
        <v>0</v>
      </c>
      <c r="O11" s="241">
        <f>+M11/K11</f>
        <v>1</v>
      </c>
      <c r="P11" s="165">
        <f t="shared" si="1"/>
        <v>-25000</v>
      </c>
      <c r="Q11" s="78">
        <f t="shared" si="2"/>
        <v>0.58333333333333337</v>
      </c>
    </row>
    <row r="12" spans="1:34" x14ac:dyDescent="0.25">
      <c r="A12" s="11" t="s">
        <v>11</v>
      </c>
      <c r="B12" s="10" t="s">
        <v>12</v>
      </c>
      <c r="C12" s="68"/>
      <c r="D12" s="46"/>
      <c r="E12" s="26"/>
      <c r="F12" s="26"/>
      <c r="G12" s="26">
        <v>0</v>
      </c>
      <c r="H12" s="80"/>
      <c r="I12" s="58"/>
      <c r="J12" s="231"/>
      <c r="K12" s="202">
        <v>67000</v>
      </c>
      <c r="L12" s="468">
        <v>25000</v>
      </c>
      <c r="M12" s="186">
        <f t="shared" si="7"/>
        <v>0</v>
      </c>
      <c r="N12" s="174">
        <f t="shared" si="5"/>
        <v>-67000</v>
      </c>
      <c r="O12" s="241"/>
      <c r="P12" s="165">
        <f t="shared" si="1"/>
        <v>-67000</v>
      </c>
      <c r="Q12" s="78">
        <f t="shared" si="2"/>
        <v>0</v>
      </c>
    </row>
    <row r="13" spans="1:34" x14ac:dyDescent="0.25">
      <c r="A13" s="8">
        <v>2570</v>
      </c>
      <c r="B13" s="388" t="s">
        <v>13</v>
      </c>
      <c r="C13" s="68"/>
      <c r="D13" s="47"/>
      <c r="E13" s="26"/>
      <c r="F13" s="80"/>
      <c r="G13" s="26">
        <v>0</v>
      </c>
      <c r="H13" s="80"/>
      <c r="I13" s="58">
        <v>608.72</v>
      </c>
      <c r="J13" s="231">
        <f t="shared" si="6"/>
        <v>608.72</v>
      </c>
      <c r="K13" s="202">
        <v>1000</v>
      </c>
      <c r="L13" s="468">
        <v>56000</v>
      </c>
      <c r="M13" s="186">
        <f t="shared" si="7"/>
        <v>1043.52</v>
      </c>
      <c r="N13" s="174">
        <f t="shared" si="5"/>
        <v>43.519999999999982</v>
      </c>
      <c r="O13" s="241"/>
      <c r="P13" s="165">
        <f t="shared" si="1"/>
        <v>-391.28</v>
      </c>
      <c r="Q13" s="78">
        <f t="shared" si="2"/>
        <v>0.60872000000000004</v>
      </c>
    </row>
    <row r="14" spans="1:34" x14ac:dyDescent="0.25">
      <c r="A14" s="8" t="s">
        <v>14</v>
      </c>
      <c r="B14" s="9" t="s">
        <v>15</v>
      </c>
      <c r="C14" s="70">
        <v>7406.78</v>
      </c>
      <c r="D14" s="26">
        <v>6434.68</v>
      </c>
      <c r="E14" s="80">
        <v>7186.26</v>
      </c>
      <c r="F14" s="80">
        <v>5038.6499999999996</v>
      </c>
      <c r="G14" s="26">
        <v>3291.17</v>
      </c>
      <c r="H14" s="80">
        <v>3862.25</v>
      </c>
      <c r="I14" s="58">
        <v>3119.03</v>
      </c>
      <c r="J14" s="231">
        <f t="shared" si="6"/>
        <v>36338.82</v>
      </c>
      <c r="K14" s="203">
        <v>45000</v>
      </c>
      <c r="L14" s="469">
        <v>62000</v>
      </c>
      <c r="M14" s="186">
        <f t="shared" si="7"/>
        <v>62295.12</v>
      </c>
      <c r="N14" s="174">
        <f t="shared" si="5"/>
        <v>17295.120000000003</v>
      </c>
      <c r="O14" s="241">
        <f>+M14/K14</f>
        <v>1.384336</v>
      </c>
      <c r="P14" s="165">
        <f t="shared" si="1"/>
        <v>-8661.18</v>
      </c>
      <c r="Q14" s="78">
        <f t="shared" si="2"/>
        <v>0.80752933333333332</v>
      </c>
    </row>
    <row r="15" spans="1:34" x14ac:dyDescent="0.25">
      <c r="A15" s="8" t="s">
        <v>16</v>
      </c>
      <c r="B15" s="9" t="s">
        <v>17</v>
      </c>
      <c r="C15" s="70">
        <v>16832.310000000001</v>
      </c>
      <c r="D15" s="26">
        <v>17381.3</v>
      </c>
      <c r="E15" s="26">
        <v>17294.419999999998</v>
      </c>
      <c r="F15" s="80">
        <v>17207.54</v>
      </c>
      <c r="G15" s="26">
        <v>17674.419999999998</v>
      </c>
      <c r="H15" s="80">
        <v>17524.91</v>
      </c>
      <c r="I15" s="58">
        <v>17813.68</v>
      </c>
      <c r="J15" s="231">
        <f t="shared" si="6"/>
        <v>121728.58000000002</v>
      </c>
      <c r="K15" s="203">
        <v>230000</v>
      </c>
      <c r="L15" s="469">
        <v>210000</v>
      </c>
      <c r="M15" s="186">
        <f t="shared" si="7"/>
        <v>208677.56571428571</v>
      </c>
      <c r="N15" s="174">
        <f t="shared" si="5"/>
        <v>-21322.434285714291</v>
      </c>
      <c r="O15" s="241">
        <f>+M15/K15</f>
        <v>0.90729376397515527</v>
      </c>
      <c r="P15" s="165">
        <f t="shared" si="1"/>
        <v>-108271.41999999998</v>
      </c>
      <c r="Q15" s="78">
        <f t="shared" si="2"/>
        <v>0.52925469565217398</v>
      </c>
    </row>
    <row r="16" spans="1:34" x14ac:dyDescent="0.25">
      <c r="A16" s="8" t="s">
        <v>18</v>
      </c>
      <c r="B16" s="180" t="s">
        <v>568</v>
      </c>
      <c r="C16" s="70">
        <v>324</v>
      </c>
      <c r="D16" s="26">
        <v>1693</v>
      </c>
      <c r="E16" s="26">
        <v>1539.5</v>
      </c>
      <c r="F16" s="51">
        <v>1825</v>
      </c>
      <c r="G16" s="51">
        <v>455</v>
      </c>
      <c r="H16" s="51">
        <v>527</v>
      </c>
      <c r="I16" s="135">
        <v>492</v>
      </c>
      <c r="J16" s="231">
        <f t="shared" si="6"/>
        <v>6855.5</v>
      </c>
      <c r="K16" s="203">
        <v>15000</v>
      </c>
      <c r="L16" s="469">
        <v>12000</v>
      </c>
      <c r="M16" s="186">
        <f t="shared" si="7"/>
        <v>11752.285714285714</v>
      </c>
      <c r="N16" s="174">
        <f t="shared" si="5"/>
        <v>-3247.7142857142862</v>
      </c>
      <c r="O16" s="241"/>
      <c r="P16" s="165">
        <f t="shared" si="1"/>
        <v>-8144.5</v>
      </c>
      <c r="Q16" s="78">
        <f t="shared" si="2"/>
        <v>0.45703333333333335</v>
      </c>
    </row>
    <row r="17" spans="1:17" x14ac:dyDescent="0.25">
      <c r="A17" s="14" t="s">
        <v>19</v>
      </c>
      <c r="B17" s="15" t="s">
        <v>20</v>
      </c>
      <c r="C17" s="73">
        <f>C18+C19+C20</f>
        <v>572.73</v>
      </c>
      <c r="D17" s="73">
        <f t="shared" ref="D17:E17" si="8">D18+D19+D20</f>
        <v>6463.7</v>
      </c>
      <c r="E17" s="73">
        <f t="shared" si="8"/>
        <v>29729.48</v>
      </c>
      <c r="F17" s="16">
        <f>SUM(F18:F20)</f>
        <v>68672.83</v>
      </c>
      <c r="G17" s="16">
        <f>SUM(G18:G20)</f>
        <v>0</v>
      </c>
      <c r="H17" s="16">
        <f t="shared" ref="H17:I17" si="9">H18+H19+H20</f>
        <v>21718.9</v>
      </c>
      <c r="I17" s="60">
        <f t="shared" si="9"/>
        <v>239.51</v>
      </c>
      <c r="J17" s="231">
        <f t="shared" si="6"/>
        <v>127397.15000000001</v>
      </c>
      <c r="K17" s="204">
        <f>+SUM(K18:K22)</f>
        <v>136000</v>
      </c>
      <c r="L17" s="513">
        <f>+SUM(L18:L22)</f>
        <v>177000</v>
      </c>
      <c r="M17" s="173">
        <f t="shared" si="7"/>
        <v>218395.11428571431</v>
      </c>
      <c r="N17" s="174">
        <f t="shared" si="5"/>
        <v>82395.114285714313</v>
      </c>
      <c r="O17" s="241">
        <f>+M17/K17</f>
        <v>1.6058464285714287</v>
      </c>
      <c r="P17" s="165">
        <f>J17-K17</f>
        <v>-8602.8499999999913</v>
      </c>
      <c r="Q17" s="78">
        <f>J17/K17</f>
        <v>0.9367437500000001</v>
      </c>
    </row>
    <row r="18" spans="1:17" x14ac:dyDescent="0.25">
      <c r="A18" s="6"/>
      <c r="B18" s="385" t="s">
        <v>632</v>
      </c>
      <c r="C18" s="70">
        <v>330.6</v>
      </c>
      <c r="D18" s="80">
        <v>-600</v>
      </c>
      <c r="E18" s="80"/>
      <c r="F18" s="80">
        <v>826.47</v>
      </c>
      <c r="G18" s="26"/>
      <c r="H18" s="26"/>
      <c r="I18" s="58"/>
      <c r="J18" s="231">
        <f t="shared" si="6"/>
        <v>557.07000000000005</v>
      </c>
      <c r="K18" s="203">
        <v>4000</v>
      </c>
      <c r="L18" s="469">
        <v>1000</v>
      </c>
      <c r="M18" s="186">
        <f t="shared" si="7"/>
        <v>954.97714285714289</v>
      </c>
      <c r="N18" s="174">
        <f t="shared" si="5"/>
        <v>-3045.022857142857</v>
      </c>
      <c r="O18" s="241">
        <f>+M18/K18</f>
        <v>0.23874428571428571</v>
      </c>
      <c r="P18" s="165">
        <f>J18-K18</f>
        <v>-3442.93</v>
      </c>
      <c r="Q18" s="78">
        <f>J18/K18</f>
        <v>0.13926750000000002</v>
      </c>
    </row>
    <row r="19" spans="1:17" x14ac:dyDescent="0.25">
      <c r="A19" s="6"/>
      <c r="B19" s="17" t="s">
        <v>21</v>
      </c>
      <c r="C19" s="70">
        <v>0</v>
      </c>
      <c r="D19" s="26"/>
      <c r="E19" s="26"/>
      <c r="F19" s="26"/>
      <c r="G19" s="26"/>
      <c r="H19" s="26"/>
      <c r="I19" s="58"/>
      <c r="J19" s="231">
        <f t="shared" si="6"/>
        <v>0</v>
      </c>
      <c r="K19" s="203">
        <v>46000</v>
      </c>
      <c r="L19" s="469">
        <v>26000</v>
      </c>
      <c r="M19" s="186">
        <f t="shared" si="7"/>
        <v>0</v>
      </c>
      <c r="N19" s="174">
        <f t="shared" si="5"/>
        <v>-46000</v>
      </c>
      <c r="O19" s="241"/>
      <c r="P19" s="165">
        <f>J19-K19</f>
        <v>-46000</v>
      </c>
      <c r="Q19" s="78">
        <f>J19/K19</f>
        <v>0</v>
      </c>
    </row>
    <row r="20" spans="1:17" x14ac:dyDescent="0.25">
      <c r="A20" s="6"/>
      <c r="B20" s="385" t="s">
        <v>569</v>
      </c>
      <c r="C20" s="70">
        <f>242.13</f>
        <v>242.13</v>
      </c>
      <c r="D20" s="26">
        <f>7063.7</f>
        <v>7063.7</v>
      </c>
      <c r="E20" s="80">
        <f>29729.48</f>
        <v>29729.48</v>
      </c>
      <c r="F20" s="425">
        <f>47872.36+19974</f>
        <v>67846.36</v>
      </c>
      <c r="G20" s="26">
        <v>0</v>
      </c>
      <c r="H20" s="80">
        <f>21718.9</f>
        <v>21718.9</v>
      </c>
      <c r="I20" s="58">
        <f>239.51</f>
        <v>239.51</v>
      </c>
      <c r="J20" s="231">
        <f t="shared" si="6"/>
        <v>126840.08</v>
      </c>
      <c r="K20" s="203">
        <v>80000</v>
      </c>
      <c r="L20" s="469">
        <v>120000</v>
      </c>
      <c r="M20" s="186">
        <v>0</v>
      </c>
      <c r="N20" s="174">
        <f t="shared" si="5"/>
        <v>-80000</v>
      </c>
      <c r="O20" s="241">
        <f>+M20/K20</f>
        <v>0</v>
      </c>
      <c r="P20" s="165">
        <f>J20-K20</f>
        <v>46840.08</v>
      </c>
      <c r="Q20" s="78">
        <f>J20/K20</f>
        <v>1.585501</v>
      </c>
    </row>
    <row r="21" spans="1:17" x14ac:dyDescent="0.25">
      <c r="A21" s="8"/>
      <c r="B21" s="9" t="s">
        <v>23</v>
      </c>
      <c r="C21" s="70">
        <v>0</v>
      </c>
      <c r="D21" s="26"/>
      <c r="E21" s="26">
        <v>0</v>
      </c>
      <c r="F21" s="50"/>
      <c r="G21" s="50"/>
      <c r="H21" s="50"/>
      <c r="I21" s="59"/>
      <c r="J21" s="231"/>
      <c r="K21" s="203">
        <v>0</v>
      </c>
      <c r="L21" s="469">
        <v>0</v>
      </c>
      <c r="M21" s="186">
        <f>(J21/7)*12</f>
        <v>0</v>
      </c>
      <c r="N21" s="174">
        <f t="shared" si="5"/>
        <v>0</v>
      </c>
      <c r="O21" s="241"/>
      <c r="P21" s="165"/>
      <c r="Q21" s="78"/>
    </row>
    <row r="22" spans="1:17" ht="15.75" thickBot="1" x14ac:dyDescent="0.3">
      <c r="A22" s="248"/>
      <c r="B22" s="234" t="s">
        <v>24</v>
      </c>
      <c r="C22" s="235">
        <v>609.98</v>
      </c>
      <c r="D22" s="188">
        <v>363.27</v>
      </c>
      <c r="E22" s="188">
        <v>13668.3</v>
      </c>
      <c r="F22" s="188">
        <v>5249.17</v>
      </c>
      <c r="G22" s="188">
        <v>5342.94</v>
      </c>
      <c r="H22" s="188">
        <v>2950.25</v>
      </c>
      <c r="I22" s="426">
        <v>12076.86</v>
      </c>
      <c r="J22" s="232">
        <f t="shared" si="6"/>
        <v>40260.770000000004</v>
      </c>
      <c r="K22" s="205">
        <v>6000</v>
      </c>
      <c r="L22" s="514">
        <v>30000</v>
      </c>
      <c r="M22" s="191">
        <f>(J22/7)*12</f>
        <v>69018.462857142862</v>
      </c>
      <c r="N22" s="249">
        <f t="shared" si="5"/>
        <v>63018.462857142862</v>
      </c>
      <c r="O22" s="250">
        <f>+M22/K22</f>
        <v>11.503077142857144</v>
      </c>
      <c r="P22" s="165">
        <f>J22-K22</f>
        <v>34260.770000000004</v>
      </c>
      <c r="Q22" s="78">
        <f>J22/K22</f>
        <v>6.7101283333333344</v>
      </c>
    </row>
    <row r="23" spans="1:17" ht="15.75" thickBot="1" x14ac:dyDescent="0.3">
      <c r="A23" s="252" t="s">
        <v>25</v>
      </c>
      <c r="B23" s="236" t="s">
        <v>26</v>
      </c>
      <c r="C23" s="2">
        <f>C24+C34+C42+C123+C125</f>
        <v>81654.299999999988</v>
      </c>
      <c r="D23" s="2">
        <f t="shared" ref="D23:G23" si="10">D24+D34+D42+D123+D125</f>
        <v>84266.62</v>
      </c>
      <c r="E23" s="2">
        <f t="shared" si="10"/>
        <v>87385.599999999991</v>
      </c>
      <c r="F23" s="2">
        <f t="shared" si="10"/>
        <v>91190.639999999985</v>
      </c>
      <c r="G23" s="2">
        <f t="shared" si="10"/>
        <v>74839.08</v>
      </c>
      <c r="H23" s="2">
        <f t="shared" ref="H23" si="11">H24+H34+H42+H123+H125</f>
        <v>68838.39</v>
      </c>
      <c r="I23" s="55">
        <f>I24+I34+I42+I123+I125</f>
        <v>74472.69</v>
      </c>
      <c r="J23" s="216">
        <f>SUM(C23:I23)</f>
        <v>562647.31999999995</v>
      </c>
      <c r="K23" s="206">
        <v>1142373</v>
      </c>
      <c r="L23" s="515">
        <f>L24+L34+L42+L123+L125</f>
        <v>1019451.6</v>
      </c>
      <c r="M23" s="168">
        <f>M24+M34+M42+M123+M125</f>
        <v>964538.26285714284</v>
      </c>
      <c r="N23" s="172">
        <f t="shared" si="5"/>
        <v>-177834.73714285716</v>
      </c>
      <c r="O23" s="217">
        <f>+M23/K23</f>
        <v>0.84432865872805363</v>
      </c>
      <c r="P23" s="165">
        <f>J23-K23</f>
        <v>-579725.68000000005</v>
      </c>
      <c r="Q23" s="78">
        <f>J23/K23</f>
        <v>0.49252505092469795</v>
      </c>
    </row>
    <row r="24" spans="1:17" ht="16.5" thickBot="1" x14ac:dyDescent="0.3">
      <c r="A24" s="276" t="s">
        <v>27</v>
      </c>
      <c r="B24" s="277" t="s">
        <v>28</v>
      </c>
      <c r="C24" s="279">
        <f t="shared" ref="C24:E24" si="12">C27+C28+C29+C30+C33+C31</f>
        <v>13024.71</v>
      </c>
      <c r="D24" s="279">
        <f t="shared" si="12"/>
        <v>12036.35</v>
      </c>
      <c r="E24" s="279">
        <f t="shared" si="12"/>
        <v>12458.5</v>
      </c>
      <c r="F24" s="279">
        <f>F27+F28+F29+F30+F33+F31</f>
        <v>7410.08</v>
      </c>
      <c r="G24" s="279">
        <f>G27+G28+G29+G30+G33+G31</f>
        <v>6343.04</v>
      </c>
      <c r="H24" s="279">
        <f>H27+H28+H29+H30+H33+H31</f>
        <v>8920.31</v>
      </c>
      <c r="I24" s="280">
        <f>I27+I28+I29+I30+I33+I31</f>
        <v>7255.6000000000013</v>
      </c>
      <c r="J24" s="268">
        <f t="shared" si="6"/>
        <v>67448.59</v>
      </c>
      <c r="K24" s="269">
        <v>171155</v>
      </c>
      <c r="L24" s="516">
        <f>SUM(L25:L33)</f>
        <v>121700</v>
      </c>
      <c r="M24" s="270">
        <f>(J24/7)*12</f>
        <v>115626.15428571426</v>
      </c>
      <c r="N24" s="270">
        <f t="shared" si="5"/>
        <v>-55528.845714285737</v>
      </c>
      <c r="O24" s="271">
        <f>+M24/K24</f>
        <v>0.67556398753009994</v>
      </c>
      <c r="P24" s="165">
        <f>J24-K24</f>
        <v>-103706.41</v>
      </c>
      <c r="Q24" s="78">
        <f>J24/K24</f>
        <v>0.3940789927258917</v>
      </c>
    </row>
    <row r="25" spans="1:17" x14ac:dyDescent="0.25">
      <c r="A25" s="3" t="s">
        <v>29</v>
      </c>
      <c r="B25" s="282" t="s">
        <v>30</v>
      </c>
      <c r="C25" s="283"/>
      <c r="D25" s="283">
        <v>0</v>
      </c>
      <c r="E25" s="283">
        <v>0</v>
      </c>
      <c r="F25" s="284"/>
      <c r="G25" s="284"/>
      <c r="H25" s="284"/>
      <c r="I25" s="285"/>
      <c r="J25" s="230"/>
      <c r="K25" s="286">
        <v>-7500</v>
      </c>
      <c r="L25" s="517">
        <v>0</v>
      </c>
      <c r="M25" s="186">
        <f>(J25/6)*12</f>
        <v>0</v>
      </c>
      <c r="N25" s="173">
        <f t="shared" si="5"/>
        <v>7500</v>
      </c>
      <c r="O25" s="251"/>
      <c r="P25" s="165">
        <f>J25-K25</f>
        <v>7500</v>
      </c>
      <c r="Q25" s="78">
        <f>J25/K25</f>
        <v>0</v>
      </c>
    </row>
    <row r="26" spans="1:17" x14ac:dyDescent="0.25">
      <c r="A26" s="6"/>
      <c r="B26" s="18" t="s">
        <v>31</v>
      </c>
      <c r="C26" s="13"/>
      <c r="D26" s="26"/>
      <c r="E26" s="26">
        <v>0</v>
      </c>
      <c r="F26" s="50"/>
      <c r="G26" s="50"/>
      <c r="H26" s="50"/>
      <c r="I26" s="59"/>
      <c r="J26" s="231"/>
      <c r="K26" s="208"/>
      <c r="L26" s="469">
        <v>0</v>
      </c>
      <c r="M26" s="186">
        <f>(J26/6)*12</f>
        <v>0</v>
      </c>
      <c r="N26" s="174">
        <f t="shared" si="5"/>
        <v>0</v>
      </c>
      <c r="O26" s="241"/>
      <c r="P26" s="165"/>
      <c r="Q26" s="78"/>
    </row>
    <row r="27" spans="1:17" x14ac:dyDescent="0.25">
      <c r="A27" s="6"/>
      <c r="B27" s="18" t="s">
        <v>32</v>
      </c>
      <c r="C27" s="70"/>
      <c r="D27" s="26"/>
      <c r="E27" s="26"/>
      <c r="F27" s="50"/>
      <c r="G27" s="50"/>
      <c r="H27" s="50"/>
      <c r="I27" s="139"/>
      <c r="J27" s="231">
        <f t="shared" si="6"/>
        <v>0</v>
      </c>
      <c r="K27" s="208">
        <v>-7500</v>
      </c>
      <c r="L27" s="469">
        <v>0</v>
      </c>
      <c r="M27" s="186">
        <f>(J27/6)*12</f>
        <v>0</v>
      </c>
      <c r="N27" s="174">
        <f t="shared" si="5"/>
        <v>7500</v>
      </c>
      <c r="O27" s="241"/>
      <c r="P27" s="165">
        <f>J27-K27</f>
        <v>7500</v>
      </c>
      <c r="Q27" s="78">
        <f>J27/K27</f>
        <v>0</v>
      </c>
    </row>
    <row r="28" spans="1:17" x14ac:dyDescent="0.25">
      <c r="A28" s="8" t="s">
        <v>33</v>
      </c>
      <c r="B28" s="9" t="s">
        <v>34</v>
      </c>
      <c r="C28" s="70"/>
      <c r="D28" s="26"/>
      <c r="E28" s="26"/>
      <c r="F28" s="50"/>
      <c r="G28" s="50"/>
      <c r="H28" s="50"/>
      <c r="I28" s="59"/>
      <c r="J28" s="231"/>
      <c r="K28" s="208">
        <v>1700</v>
      </c>
      <c r="L28" s="469">
        <v>1700</v>
      </c>
      <c r="M28" s="186">
        <f>(J28/6)*12</f>
        <v>0</v>
      </c>
      <c r="N28" s="174">
        <f t="shared" si="5"/>
        <v>-1700</v>
      </c>
      <c r="O28" s="241"/>
      <c r="P28" s="165">
        <f>J28-K28</f>
        <v>-1700</v>
      </c>
      <c r="Q28" s="78">
        <f>J28/K28</f>
        <v>0</v>
      </c>
    </row>
    <row r="29" spans="1:17" x14ac:dyDescent="0.25">
      <c r="A29" s="8" t="s">
        <v>35</v>
      </c>
      <c r="B29" s="10" t="s">
        <v>36</v>
      </c>
      <c r="C29" s="68">
        <f>1212.37+3427.22</f>
        <v>4639.59</v>
      </c>
      <c r="D29" s="26">
        <f>1354.99+4458.72</f>
        <v>5813.71</v>
      </c>
      <c r="E29" s="26">
        <f>784.47+5190.75</f>
        <v>5975.22</v>
      </c>
      <c r="F29" s="26">
        <f>71.32+3893.06</f>
        <v>3964.38</v>
      </c>
      <c r="G29" s="12">
        <f>285.27+3227.59</f>
        <v>3512.86</v>
      </c>
      <c r="H29" s="26">
        <f>427.9+3759.96</f>
        <v>4187.8599999999997</v>
      </c>
      <c r="I29" s="58">
        <f>285.27+4159.27</f>
        <v>4444.5400000000009</v>
      </c>
      <c r="J29" s="231">
        <f t="shared" si="6"/>
        <v>32538.160000000003</v>
      </c>
      <c r="K29" s="209">
        <v>73500</v>
      </c>
      <c r="L29" s="468">
        <v>63000</v>
      </c>
      <c r="M29" s="186">
        <f>(J29/7)*12</f>
        <v>55779.70285714286</v>
      </c>
      <c r="N29" s="174">
        <f t="shared" si="5"/>
        <v>-17720.29714285714</v>
      </c>
      <c r="O29" s="241">
        <f>+M29/K29</f>
        <v>0.75890752186588928</v>
      </c>
      <c r="P29" s="165">
        <f>J29-K29</f>
        <v>-40961.839999999997</v>
      </c>
      <c r="Q29" s="78">
        <f>J29/K29</f>
        <v>0.44269605442176874</v>
      </c>
    </row>
    <row r="30" spans="1:17" x14ac:dyDescent="0.25">
      <c r="A30" s="8" t="s">
        <v>37</v>
      </c>
      <c r="B30" s="9" t="s">
        <v>38</v>
      </c>
      <c r="C30" s="70">
        <v>8163.12</v>
      </c>
      <c r="D30" s="26">
        <v>5157.1400000000003</v>
      </c>
      <c r="E30" s="26">
        <v>5426.55</v>
      </c>
      <c r="F30" s="26">
        <v>2407.1799999999998</v>
      </c>
      <c r="G30" s="26">
        <v>2499.1799999999998</v>
      </c>
      <c r="H30" s="80">
        <v>4488.95</v>
      </c>
      <c r="I30" s="58">
        <v>2479.1799999999998</v>
      </c>
      <c r="J30" s="231">
        <f t="shared" si="6"/>
        <v>30621.300000000003</v>
      </c>
      <c r="K30" s="208">
        <v>94455</v>
      </c>
      <c r="L30" s="469">
        <v>48000</v>
      </c>
      <c r="M30" s="186">
        <f>(J30/7)*12</f>
        <v>52493.657142857148</v>
      </c>
      <c r="N30" s="174">
        <f t="shared" si="5"/>
        <v>-41961.342857142852</v>
      </c>
      <c r="O30" s="241">
        <f>+M30/K30</f>
        <v>0.55575307969781529</v>
      </c>
      <c r="P30" s="165">
        <f>J30-K30</f>
        <v>-63833.7</v>
      </c>
      <c r="Q30" s="78">
        <f>J30/K30</f>
        <v>0.3241892964903923</v>
      </c>
    </row>
    <row r="31" spans="1:17" x14ac:dyDescent="0.25">
      <c r="A31" s="157">
        <v>601403</v>
      </c>
      <c r="B31" s="158" t="s">
        <v>540</v>
      </c>
      <c r="C31" s="70">
        <v>222</v>
      </c>
      <c r="D31" s="80">
        <v>1065.5</v>
      </c>
      <c r="E31" s="80">
        <v>1056.73</v>
      </c>
      <c r="F31" s="80">
        <v>1038.52</v>
      </c>
      <c r="G31" s="26">
        <v>331</v>
      </c>
      <c r="H31" s="80">
        <v>243.5</v>
      </c>
      <c r="I31" s="58">
        <v>331.88</v>
      </c>
      <c r="J31" s="231">
        <f t="shared" si="6"/>
        <v>4289.13</v>
      </c>
      <c r="K31" s="208">
        <v>9000</v>
      </c>
      <c r="L31" s="469">
        <v>9000</v>
      </c>
      <c r="M31" s="186">
        <f>(J31/6)*12</f>
        <v>8578.26</v>
      </c>
      <c r="N31" s="174">
        <f t="shared" si="5"/>
        <v>-421.73999999999978</v>
      </c>
      <c r="O31" s="241"/>
      <c r="P31" s="165">
        <f>J31-K31</f>
        <v>-4710.87</v>
      </c>
      <c r="Q31" s="78">
        <f>J31/K31</f>
        <v>0.47656999999999999</v>
      </c>
    </row>
    <row r="32" spans="1:17" x14ac:dyDescent="0.25">
      <c r="A32" s="8" t="s">
        <v>39</v>
      </c>
      <c r="B32" s="9" t="s">
        <v>40</v>
      </c>
      <c r="C32" s="70">
        <v>0</v>
      </c>
      <c r="D32" s="26"/>
      <c r="E32" s="26">
        <v>0</v>
      </c>
      <c r="F32" s="50"/>
      <c r="G32" s="50"/>
      <c r="H32" s="50"/>
      <c r="I32" s="59"/>
      <c r="J32" s="231"/>
      <c r="K32" s="208">
        <v>0</v>
      </c>
      <c r="L32" s="469">
        <v>0</v>
      </c>
      <c r="M32" s="186">
        <f>(J32/6)*12</f>
        <v>0</v>
      </c>
      <c r="N32" s="174">
        <f t="shared" si="5"/>
        <v>0</v>
      </c>
      <c r="O32" s="241"/>
      <c r="P32" s="165"/>
      <c r="Q32" s="78"/>
    </row>
    <row r="33" spans="1:17" ht="15.75" thickBot="1" x14ac:dyDescent="0.3">
      <c r="A33" s="37">
        <v>601404</v>
      </c>
      <c r="B33" s="38" t="s">
        <v>41</v>
      </c>
      <c r="C33" s="255">
        <v>0</v>
      </c>
      <c r="D33" s="281">
        <v>0</v>
      </c>
      <c r="E33" s="188"/>
      <c r="F33" s="188"/>
      <c r="G33" s="188"/>
      <c r="H33" s="188"/>
      <c r="I33" s="256"/>
      <c r="J33" s="232"/>
      <c r="K33" s="257"/>
      <c r="L33" s="518">
        <v>0</v>
      </c>
      <c r="M33" s="258">
        <f>(J33/6)*12</f>
        <v>0</v>
      </c>
      <c r="N33" s="249">
        <f t="shared" si="5"/>
        <v>0</v>
      </c>
      <c r="O33" s="250"/>
      <c r="P33" s="165">
        <f>J33-K33</f>
        <v>0</v>
      </c>
      <c r="Q33" s="78" t="e">
        <f>J33/K33</f>
        <v>#DIV/0!</v>
      </c>
    </row>
    <row r="34" spans="1:17" ht="15.75" thickBot="1" x14ac:dyDescent="0.3">
      <c r="A34" s="276" t="s">
        <v>42</v>
      </c>
      <c r="B34" s="277" t="s">
        <v>43</v>
      </c>
      <c r="C34" s="278">
        <f>C35+C36+C37+C40+C41</f>
        <v>2539.1099999999997</v>
      </c>
      <c r="D34" s="278">
        <f>D35+D36+D37+D40+D41</f>
        <v>3061.6499999999996</v>
      </c>
      <c r="E34" s="278">
        <f t="shared" ref="E34:G34" si="13">E35+E36+E37+E40+E41</f>
        <v>2293.5299999999997</v>
      </c>
      <c r="F34" s="278">
        <f>F35+F36+F37+F40+F41</f>
        <v>1597</v>
      </c>
      <c r="G34" s="278">
        <f t="shared" si="13"/>
        <v>1002.4</v>
      </c>
      <c r="H34" s="279">
        <f t="shared" ref="H34:I34" si="14">H35+H36+H37+H40+H41</f>
        <v>1636.51</v>
      </c>
      <c r="I34" s="280">
        <f t="shared" si="14"/>
        <v>1895.53</v>
      </c>
      <c r="J34" s="268">
        <f t="shared" si="6"/>
        <v>14025.73</v>
      </c>
      <c r="K34" s="269">
        <v>21140</v>
      </c>
      <c r="L34" s="270">
        <f>L35+L36+L37+L40+L41</f>
        <v>26900</v>
      </c>
      <c r="M34" s="270">
        <f>(J34/7)*12</f>
        <v>24044.108571428573</v>
      </c>
      <c r="N34" s="270">
        <f t="shared" si="5"/>
        <v>2904.1085714285728</v>
      </c>
      <c r="O34" s="271">
        <f>+M34/K34</f>
        <v>1.1373750506825246</v>
      </c>
      <c r="P34" s="165">
        <f>J34-K34</f>
        <v>-7114.27</v>
      </c>
      <c r="Q34" s="78">
        <f>J34/K34</f>
        <v>0.66346877956480599</v>
      </c>
    </row>
    <row r="35" spans="1:17" x14ac:dyDescent="0.25">
      <c r="A35" s="3" t="s">
        <v>44</v>
      </c>
      <c r="B35" s="272" t="s">
        <v>45</v>
      </c>
      <c r="C35" s="273"/>
      <c r="D35" s="5"/>
      <c r="E35" s="5">
        <v>180</v>
      </c>
      <c r="F35" s="5"/>
      <c r="G35" s="274"/>
      <c r="H35" s="5">
        <v>180</v>
      </c>
      <c r="I35" s="56"/>
      <c r="J35" s="230">
        <f>+E35+H35</f>
        <v>360</v>
      </c>
      <c r="K35" s="275">
        <v>1000</v>
      </c>
      <c r="L35" s="469">
        <v>1000</v>
      </c>
      <c r="M35" s="186">
        <v>720</v>
      </c>
      <c r="N35" s="173">
        <f t="shared" si="5"/>
        <v>-280</v>
      </c>
      <c r="O35" s="241">
        <f t="shared" ref="O35:O36" si="15">+M35/K35</f>
        <v>0.72</v>
      </c>
      <c r="P35" s="165">
        <f>J35-K35</f>
        <v>-640</v>
      </c>
      <c r="Q35" s="78">
        <f>J35/K35</f>
        <v>0.36</v>
      </c>
    </row>
    <row r="36" spans="1:17" x14ac:dyDescent="0.25">
      <c r="A36" s="8" t="s">
        <v>46</v>
      </c>
      <c r="B36" s="9" t="s">
        <v>47</v>
      </c>
      <c r="C36" s="70"/>
      <c r="D36" s="26">
        <v>0</v>
      </c>
      <c r="E36" s="26">
        <v>160</v>
      </c>
      <c r="F36" s="26"/>
      <c r="G36" s="26">
        <v>0</v>
      </c>
      <c r="H36" s="26"/>
      <c r="I36" s="58"/>
      <c r="J36" s="231">
        <f>+E36</f>
        <v>160</v>
      </c>
      <c r="K36" s="208">
        <v>500</v>
      </c>
      <c r="L36" s="469">
        <v>500</v>
      </c>
      <c r="M36" s="186">
        <f>(J36/6)*12</f>
        <v>320</v>
      </c>
      <c r="N36" s="174">
        <f t="shared" si="5"/>
        <v>-180</v>
      </c>
      <c r="O36" s="241">
        <f t="shared" si="15"/>
        <v>0.64</v>
      </c>
      <c r="P36" s="165">
        <f>J36-K36</f>
        <v>-340</v>
      </c>
      <c r="Q36" s="78">
        <f>J36/K36</f>
        <v>0.32</v>
      </c>
    </row>
    <row r="37" spans="1:17" x14ac:dyDescent="0.25">
      <c r="A37" s="8">
        <v>61122</v>
      </c>
      <c r="B37" s="178" t="s">
        <v>48</v>
      </c>
      <c r="C37" s="69">
        <f>C38+C39</f>
        <v>1545</v>
      </c>
      <c r="D37" s="69">
        <f>D38+D39</f>
        <v>1545</v>
      </c>
      <c r="E37" s="69">
        <f t="shared" ref="E37:F37" si="16">E38+E39</f>
        <v>1545</v>
      </c>
      <c r="F37" s="69">
        <f t="shared" si="16"/>
        <v>1545</v>
      </c>
      <c r="G37" s="69">
        <f>145+700</f>
        <v>845</v>
      </c>
      <c r="H37" s="21">
        <f>+H38+H39</f>
        <v>1246.53</v>
      </c>
      <c r="I37" s="159">
        <f t="shared" ref="I37" si="17">I38+I39</f>
        <v>1792.06</v>
      </c>
      <c r="J37" s="231">
        <f t="shared" si="6"/>
        <v>10063.59</v>
      </c>
      <c r="K37" s="207">
        <v>16240</v>
      </c>
      <c r="L37" s="517">
        <v>20000</v>
      </c>
      <c r="M37" s="186">
        <f>(J37/7)*12</f>
        <v>17251.868571428571</v>
      </c>
      <c r="N37" s="174">
        <f t="shared" si="5"/>
        <v>1011.8685714285712</v>
      </c>
      <c r="O37" s="241">
        <f>+M37/K37</f>
        <v>1.0623071780436313</v>
      </c>
      <c r="P37" s="165">
        <f>J37-K37</f>
        <v>-6176.41</v>
      </c>
      <c r="Q37" s="78">
        <f>J37/K37</f>
        <v>0.61967918719211823</v>
      </c>
    </row>
    <row r="38" spans="1:17" x14ac:dyDescent="0.25">
      <c r="A38" s="6"/>
      <c r="B38" s="18" t="s">
        <v>49</v>
      </c>
      <c r="C38" s="70">
        <v>0</v>
      </c>
      <c r="D38" s="26"/>
      <c r="E38" s="26">
        <v>0</v>
      </c>
      <c r="F38" s="50"/>
      <c r="G38" s="50"/>
      <c r="H38" s="50"/>
      <c r="I38" s="59"/>
      <c r="J38" s="231"/>
      <c r="K38" s="208">
        <v>0</v>
      </c>
      <c r="L38" s="469">
        <v>0</v>
      </c>
      <c r="M38" s="186">
        <f>(J38/6)*12</f>
        <v>0</v>
      </c>
      <c r="N38" s="174">
        <f t="shared" si="5"/>
        <v>0</v>
      </c>
      <c r="O38" s="241"/>
      <c r="P38" s="165"/>
      <c r="Q38" s="78"/>
    </row>
    <row r="39" spans="1:17" x14ac:dyDescent="0.25">
      <c r="A39" s="6"/>
      <c r="B39" s="18" t="s">
        <v>50</v>
      </c>
      <c r="C39" s="70">
        <f>145+1400</f>
        <v>1545</v>
      </c>
      <c r="D39" s="26">
        <f>145+1400</f>
        <v>1545</v>
      </c>
      <c r="E39" s="26">
        <f>1400+145</f>
        <v>1545</v>
      </c>
      <c r="F39" s="26">
        <v>1545</v>
      </c>
      <c r="G39" s="26">
        <v>845</v>
      </c>
      <c r="H39" s="80">
        <f>145+1101.53</f>
        <v>1246.53</v>
      </c>
      <c r="I39" s="58">
        <f>145+1647.06</f>
        <v>1792.06</v>
      </c>
      <c r="J39" s="231">
        <f t="shared" si="6"/>
        <v>10063.59</v>
      </c>
      <c r="K39" s="208">
        <v>16240</v>
      </c>
      <c r="L39" s="469">
        <v>20000</v>
      </c>
      <c r="M39" s="186">
        <f t="shared" ref="M39:M47" si="18">(J39/7)*12</f>
        <v>17251.868571428571</v>
      </c>
      <c r="N39" s="174">
        <f t="shared" ref="N39:N70" si="19">M39-K39</f>
        <v>1011.8685714285712</v>
      </c>
      <c r="O39" s="241">
        <f t="shared" ref="O39:O46" si="20">+M39/K39</f>
        <v>1.0623071780436313</v>
      </c>
      <c r="P39" s="165">
        <f t="shared" ref="P39:P53" si="21">J39-K39</f>
        <v>-6176.41</v>
      </c>
      <c r="Q39" s="78">
        <f t="shared" ref="Q39:Q53" si="22">J39/K39</f>
        <v>0.61967918719211823</v>
      </c>
    </row>
    <row r="40" spans="1:17" x14ac:dyDescent="0.25">
      <c r="A40" s="8" t="s">
        <v>51</v>
      </c>
      <c r="B40" s="9" t="s">
        <v>52</v>
      </c>
      <c r="C40" s="70">
        <v>7.62</v>
      </c>
      <c r="D40" s="26">
        <v>7.62</v>
      </c>
      <c r="E40" s="26">
        <v>7.62</v>
      </c>
      <c r="F40" s="26"/>
      <c r="G40" s="26"/>
      <c r="H40" s="26"/>
      <c r="I40" s="58"/>
      <c r="J40" s="231">
        <f t="shared" si="6"/>
        <v>22.86</v>
      </c>
      <c r="K40" s="208">
        <v>400</v>
      </c>
      <c r="L40" s="469">
        <v>400</v>
      </c>
      <c r="M40" s="186">
        <f t="shared" si="18"/>
        <v>39.188571428571429</v>
      </c>
      <c r="N40" s="174">
        <f t="shared" si="19"/>
        <v>-360.81142857142856</v>
      </c>
      <c r="O40" s="241">
        <f t="shared" si="20"/>
        <v>9.797142857142857E-2</v>
      </c>
      <c r="P40" s="165">
        <f t="shared" si="21"/>
        <v>-377.14</v>
      </c>
      <c r="Q40" s="78">
        <f t="shared" si="22"/>
        <v>5.7149999999999999E-2</v>
      </c>
    </row>
    <row r="41" spans="1:17" ht="15.75" thickBot="1" x14ac:dyDescent="0.3">
      <c r="A41" s="37" t="s">
        <v>53</v>
      </c>
      <c r="B41" s="38" t="s">
        <v>54</v>
      </c>
      <c r="C41" s="255">
        <v>986.49</v>
      </c>
      <c r="D41" s="188">
        <v>1509.03</v>
      </c>
      <c r="E41" s="188">
        <f>400.91</f>
        <v>400.91</v>
      </c>
      <c r="F41" s="188">
        <v>52</v>
      </c>
      <c r="G41" s="188">
        <v>157.4</v>
      </c>
      <c r="H41" s="188">
        <v>209.98</v>
      </c>
      <c r="I41" s="256">
        <v>103.47</v>
      </c>
      <c r="J41" s="232">
        <f t="shared" si="6"/>
        <v>3419.2799999999997</v>
      </c>
      <c r="K41" s="257">
        <v>3000</v>
      </c>
      <c r="L41" s="518">
        <v>5000</v>
      </c>
      <c r="M41" s="258">
        <f t="shared" si="18"/>
        <v>5861.6228571428564</v>
      </c>
      <c r="N41" s="249">
        <f t="shared" si="19"/>
        <v>2861.6228571428564</v>
      </c>
      <c r="O41" s="250">
        <f t="shared" si="20"/>
        <v>1.9538742857142855</v>
      </c>
      <c r="P41" s="165">
        <f t="shared" si="21"/>
        <v>419.27999999999975</v>
      </c>
      <c r="Q41" s="78">
        <f t="shared" si="22"/>
        <v>1.1397599999999999</v>
      </c>
    </row>
    <row r="42" spans="1:17" ht="15.75" thickBot="1" x14ac:dyDescent="0.3">
      <c r="A42" s="263" t="s">
        <v>55</v>
      </c>
      <c r="B42" s="264" t="s">
        <v>56</v>
      </c>
      <c r="C42" s="265">
        <f>C43+C49+C52+C61+C64+C83+C89+C92+C108+C112+C121</f>
        <v>61319.589999999989</v>
      </c>
      <c r="D42" s="265">
        <f t="shared" ref="D42:G42" si="23">D43+D49+D52+D61+D64+D83+D89+D92+D108+D112+D121</f>
        <v>68420.31</v>
      </c>
      <c r="E42" s="265">
        <f t="shared" si="23"/>
        <v>61832.65</v>
      </c>
      <c r="F42" s="265">
        <f t="shared" si="23"/>
        <v>59527.829999999994</v>
      </c>
      <c r="G42" s="265">
        <f t="shared" si="23"/>
        <v>62373.149999999994</v>
      </c>
      <c r="H42" s="266">
        <f>H43+H49+H52+H61+H64+H83+H89+H92+H108+H112+H121</f>
        <v>57567.01</v>
      </c>
      <c r="I42" s="267">
        <f>I43+I49+I52+I61+I64+I83+I89+I92+I108+I112+I121</f>
        <v>58882.28</v>
      </c>
      <c r="J42" s="268">
        <f t="shared" si="6"/>
        <v>429922.81999999995</v>
      </c>
      <c r="K42" s="269">
        <f>K43+K49+K52+K61+K64+K83+K89+K92+K108+K112+K121</f>
        <v>845532.45</v>
      </c>
      <c r="L42" s="270">
        <f>L43+L49+L52+L61+L64+L83+L89+L92+L108+L112+L121</f>
        <v>845451.6</v>
      </c>
      <c r="M42" s="270">
        <f t="shared" si="18"/>
        <v>737010.54857142852</v>
      </c>
      <c r="N42" s="270">
        <f t="shared" si="19"/>
        <v>-108521.90142857144</v>
      </c>
      <c r="O42" s="271">
        <f t="shared" si="20"/>
        <v>0.87165258834410031</v>
      </c>
      <c r="P42" s="165">
        <f t="shared" si="21"/>
        <v>-415609.63</v>
      </c>
      <c r="Q42" s="78">
        <f t="shared" si="22"/>
        <v>0.50846400986739182</v>
      </c>
    </row>
    <row r="43" spans="1:17" x14ac:dyDescent="0.25">
      <c r="A43" s="3" t="s">
        <v>57</v>
      </c>
      <c r="B43" s="259" t="s">
        <v>58</v>
      </c>
      <c r="C43" s="260">
        <f>C44</f>
        <v>33501.89</v>
      </c>
      <c r="D43" s="260">
        <f t="shared" ref="D43:H43" si="24">D44</f>
        <v>29594.67</v>
      </c>
      <c r="E43" s="260">
        <f t="shared" si="24"/>
        <v>29606.720000000001</v>
      </c>
      <c r="F43" s="260">
        <f t="shared" si="24"/>
        <v>32916.67</v>
      </c>
      <c r="G43" s="260">
        <f t="shared" si="24"/>
        <v>34581.85</v>
      </c>
      <c r="H43" s="260">
        <f t="shared" si="24"/>
        <v>32644.7</v>
      </c>
      <c r="I43" s="261">
        <f t="shared" ref="I43" si="25">I44</f>
        <v>32943.440000000002</v>
      </c>
      <c r="J43" s="230">
        <f t="shared" si="6"/>
        <v>225789.94</v>
      </c>
      <c r="K43" s="262">
        <v>405413</v>
      </c>
      <c r="L43" s="468">
        <f>+L44</f>
        <v>447050</v>
      </c>
      <c r="M43" s="186">
        <f t="shared" si="18"/>
        <v>387068.46857142856</v>
      </c>
      <c r="N43" s="173">
        <f t="shared" si="19"/>
        <v>-18344.531428571441</v>
      </c>
      <c r="O43" s="251">
        <f t="shared" si="20"/>
        <v>0.95475100347405872</v>
      </c>
      <c r="P43" s="165">
        <f t="shared" si="21"/>
        <v>-179623.06</v>
      </c>
      <c r="Q43" s="78">
        <f t="shared" si="22"/>
        <v>0.55693808535986755</v>
      </c>
    </row>
    <row r="44" spans="1:17" x14ac:dyDescent="0.25">
      <c r="A44" s="8" t="s">
        <v>59</v>
      </c>
      <c r="B44" s="20" t="s">
        <v>60</v>
      </c>
      <c r="C44" s="69">
        <f t="shared" ref="C44:H44" si="26">C45+C46</f>
        <v>33501.89</v>
      </c>
      <c r="D44" s="69">
        <f t="shared" si="26"/>
        <v>29594.67</v>
      </c>
      <c r="E44" s="69">
        <f t="shared" si="26"/>
        <v>29606.720000000001</v>
      </c>
      <c r="F44" s="69">
        <f t="shared" si="26"/>
        <v>32916.67</v>
      </c>
      <c r="G44" s="69">
        <f t="shared" si="26"/>
        <v>34581.85</v>
      </c>
      <c r="H44" s="69">
        <f t="shared" si="26"/>
        <v>32644.7</v>
      </c>
      <c r="I44" s="159">
        <f>I45+I46+I48</f>
        <v>32943.440000000002</v>
      </c>
      <c r="J44" s="231">
        <f t="shared" si="6"/>
        <v>225789.94</v>
      </c>
      <c r="K44" s="207">
        <v>405413</v>
      </c>
      <c r="L44" s="517">
        <f>L45+L46+L47+L48</f>
        <v>447050</v>
      </c>
      <c r="M44" s="186">
        <f t="shared" si="18"/>
        <v>387068.46857142856</v>
      </c>
      <c r="N44" s="174">
        <f t="shared" si="19"/>
        <v>-18344.531428571441</v>
      </c>
      <c r="O44" s="241">
        <f t="shared" si="20"/>
        <v>0.95475100347405872</v>
      </c>
      <c r="P44" s="165">
        <f t="shared" si="21"/>
        <v>-179623.06</v>
      </c>
      <c r="Q44" s="78">
        <f t="shared" si="22"/>
        <v>0.55693808535986755</v>
      </c>
    </row>
    <row r="45" spans="1:17" x14ac:dyDescent="0.25">
      <c r="A45" s="6"/>
      <c r="B45" s="24" t="s">
        <v>61</v>
      </c>
      <c r="C45" s="71">
        <v>11957.4</v>
      </c>
      <c r="D45" s="80">
        <f>11270.46+311.4</f>
        <v>11581.859999999999</v>
      </c>
      <c r="E45" s="26">
        <v>11496.78</v>
      </c>
      <c r="F45" s="26">
        <f>13413.68+346</f>
        <v>13759.68</v>
      </c>
      <c r="G45" s="26">
        <v>13932.68</v>
      </c>
      <c r="H45" s="26">
        <v>13932.68</v>
      </c>
      <c r="I45" s="58">
        <v>13932.68</v>
      </c>
      <c r="J45" s="231">
        <f t="shared" si="6"/>
        <v>90593.760000000009</v>
      </c>
      <c r="K45" s="210">
        <v>145413</v>
      </c>
      <c r="L45" s="470">
        <v>194050</v>
      </c>
      <c r="M45" s="186">
        <f t="shared" si="18"/>
        <v>155303.58857142858</v>
      </c>
      <c r="N45" s="174">
        <f t="shared" si="19"/>
        <v>9890.5885714285832</v>
      </c>
      <c r="O45" s="241">
        <f t="shared" si="20"/>
        <v>1.0680172238481331</v>
      </c>
      <c r="P45" s="165">
        <f t="shared" si="21"/>
        <v>-54819.239999999991</v>
      </c>
      <c r="Q45" s="78">
        <f t="shared" si="22"/>
        <v>0.62301004724474429</v>
      </c>
    </row>
    <row r="46" spans="1:17" x14ac:dyDescent="0.25">
      <c r="A46" s="6"/>
      <c r="B46" s="24" t="s">
        <v>62</v>
      </c>
      <c r="C46" s="181">
        <f>19272.35+405.17+1530.97+336</f>
        <v>21544.489999999998</v>
      </c>
      <c r="D46" s="26">
        <f>17333.17+343.64+336</f>
        <v>18012.809999999998</v>
      </c>
      <c r="E46" s="26">
        <f>17767.13+342.81</f>
        <v>18109.940000000002</v>
      </c>
      <c r="F46" s="26">
        <f>18790.62+366.37</f>
        <v>19156.989999999998</v>
      </c>
      <c r="G46" s="26">
        <f>20256.85+392.32</f>
        <v>20649.169999999998</v>
      </c>
      <c r="H46" s="26">
        <f>18353.37+358.65</f>
        <v>18712.02</v>
      </c>
      <c r="I46" s="58">
        <f>18619.41+363.35+28</f>
        <v>19010.759999999998</v>
      </c>
      <c r="J46" s="231">
        <f t="shared" si="6"/>
        <v>135196.18</v>
      </c>
      <c r="K46" s="210">
        <v>250000</v>
      </c>
      <c r="L46" s="470">
        <v>250000</v>
      </c>
      <c r="M46" s="186">
        <f t="shared" si="18"/>
        <v>231764.87999999998</v>
      </c>
      <c r="N46" s="174">
        <f t="shared" si="19"/>
        <v>-18235.120000000024</v>
      </c>
      <c r="O46" s="241">
        <f t="shared" si="20"/>
        <v>0.92705951999999991</v>
      </c>
      <c r="P46" s="165">
        <f t="shared" si="21"/>
        <v>-114803.82</v>
      </c>
      <c r="Q46" s="78">
        <f t="shared" si="22"/>
        <v>0.54078472</v>
      </c>
    </row>
    <row r="47" spans="1:17" x14ac:dyDescent="0.25">
      <c r="A47" s="179"/>
      <c r="B47" s="180" t="s">
        <v>63</v>
      </c>
      <c r="C47" s="181">
        <v>1046.54</v>
      </c>
      <c r="D47" s="80"/>
      <c r="E47" s="80">
        <v>0</v>
      </c>
      <c r="F47" s="80"/>
      <c r="G47" s="26">
        <v>619.5</v>
      </c>
      <c r="H47" s="80"/>
      <c r="I47" s="58"/>
      <c r="J47" s="231">
        <f>+C47+G47</f>
        <v>1666.04</v>
      </c>
      <c r="K47" s="208">
        <v>10000</v>
      </c>
      <c r="L47" s="469"/>
      <c r="M47" s="186">
        <f t="shared" si="18"/>
        <v>2856.0685714285714</v>
      </c>
      <c r="N47" s="174">
        <f t="shared" si="19"/>
        <v>-7143.9314285714281</v>
      </c>
      <c r="O47" s="241"/>
      <c r="P47" s="165">
        <f t="shared" si="21"/>
        <v>-8333.9599999999991</v>
      </c>
      <c r="Q47" s="78">
        <f t="shared" si="22"/>
        <v>0.166604</v>
      </c>
    </row>
    <row r="48" spans="1:17" x14ac:dyDescent="0.25">
      <c r="A48" s="8"/>
      <c r="B48" s="9" t="s">
        <v>64</v>
      </c>
      <c r="C48" s="70">
        <v>0</v>
      </c>
      <c r="D48" s="26">
        <v>0</v>
      </c>
      <c r="E48" s="26">
        <v>0</v>
      </c>
      <c r="F48" s="26"/>
      <c r="G48" s="26"/>
      <c r="H48" s="26"/>
      <c r="I48" s="138"/>
      <c r="J48" s="231">
        <f t="shared" si="6"/>
        <v>0</v>
      </c>
      <c r="K48" s="208">
        <v>0</v>
      </c>
      <c r="L48" s="469">
        <v>3000</v>
      </c>
      <c r="M48" s="186">
        <f>(J48/6)*12</f>
        <v>0</v>
      </c>
      <c r="N48" s="174">
        <f t="shared" si="19"/>
        <v>0</v>
      </c>
      <c r="O48" s="241"/>
      <c r="P48" s="165">
        <f t="shared" si="21"/>
        <v>0</v>
      </c>
      <c r="Q48" s="78" t="e">
        <f t="shared" si="22"/>
        <v>#DIV/0!</v>
      </c>
    </row>
    <row r="49" spans="1:17" s="156" customFormat="1" x14ac:dyDescent="0.25">
      <c r="A49" s="14" t="s">
        <v>65</v>
      </c>
      <c r="B49" s="31" t="s">
        <v>66</v>
      </c>
      <c r="C49" s="72">
        <f t="shared" ref="C49:I49" si="27">C50+C51</f>
        <v>731.33999999999992</v>
      </c>
      <c r="D49" s="72">
        <f t="shared" si="27"/>
        <v>225.13</v>
      </c>
      <c r="E49" s="72">
        <f t="shared" si="27"/>
        <v>254.48</v>
      </c>
      <c r="F49" s="72">
        <f t="shared" si="27"/>
        <v>291.44</v>
      </c>
      <c r="G49" s="72">
        <f t="shared" si="27"/>
        <v>315.63</v>
      </c>
      <c r="H49" s="72">
        <f>H50+H51</f>
        <v>305.38</v>
      </c>
      <c r="I49" s="75">
        <f t="shared" si="27"/>
        <v>522.18000000000006</v>
      </c>
      <c r="J49" s="231">
        <f t="shared" si="6"/>
        <v>2645.58</v>
      </c>
      <c r="K49" s="211">
        <v>6000</v>
      </c>
      <c r="L49" s="519">
        <f>L50+L51</f>
        <v>6000</v>
      </c>
      <c r="M49" s="173">
        <f>(J49/7)*12</f>
        <v>4535.28</v>
      </c>
      <c r="N49" s="174">
        <f t="shared" si="19"/>
        <v>-1464.7200000000003</v>
      </c>
      <c r="O49" s="241">
        <f>+M49/K49</f>
        <v>0.75588</v>
      </c>
      <c r="P49" s="166">
        <f t="shared" si="21"/>
        <v>-3354.42</v>
      </c>
      <c r="Q49" s="155">
        <f t="shared" si="22"/>
        <v>0.44092999999999999</v>
      </c>
    </row>
    <row r="50" spans="1:17" x14ac:dyDescent="0.25">
      <c r="A50" s="8" t="s">
        <v>67</v>
      </c>
      <c r="B50" s="9" t="s">
        <v>68</v>
      </c>
      <c r="C50" s="70">
        <v>353.14</v>
      </c>
      <c r="D50" s="26"/>
      <c r="E50" s="26">
        <v>38.54</v>
      </c>
      <c r="F50" s="51">
        <v>83.83</v>
      </c>
      <c r="G50" s="51">
        <v>67.7</v>
      </c>
      <c r="H50" s="51">
        <v>52.86</v>
      </c>
      <c r="I50" s="135">
        <v>292.44</v>
      </c>
      <c r="J50" s="231">
        <f t="shared" si="6"/>
        <v>888.51</v>
      </c>
      <c r="K50" s="208">
        <v>1000</v>
      </c>
      <c r="L50" s="469">
        <v>2000</v>
      </c>
      <c r="M50" s="186">
        <f>(J50/7)*12</f>
        <v>1523.1599999999999</v>
      </c>
      <c r="N50" s="174">
        <f t="shared" si="19"/>
        <v>523.15999999999985</v>
      </c>
      <c r="O50" s="241">
        <f>+M50/K50</f>
        <v>1.5231599999999998</v>
      </c>
      <c r="P50" s="165">
        <f t="shared" si="21"/>
        <v>-111.49000000000001</v>
      </c>
      <c r="Q50" s="78">
        <f t="shared" si="22"/>
        <v>0.88851000000000002</v>
      </c>
    </row>
    <row r="51" spans="1:17" ht="16.5" customHeight="1" x14ac:dyDescent="0.25">
      <c r="A51" s="8" t="s">
        <v>69</v>
      </c>
      <c r="B51" s="9" t="s">
        <v>70</v>
      </c>
      <c r="C51" s="70">
        <v>378.2</v>
      </c>
      <c r="D51" s="26">
        <v>225.13</v>
      </c>
      <c r="E51" s="26">
        <v>215.94</v>
      </c>
      <c r="F51" s="51">
        <v>207.61</v>
      </c>
      <c r="G51" s="51">
        <v>247.93</v>
      </c>
      <c r="H51" s="51">
        <v>252.52</v>
      </c>
      <c r="I51" s="135">
        <v>229.74</v>
      </c>
      <c r="J51" s="231">
        <f t="shared" si="6"/>
        <v>1757.0700000000002</v>
      </c>
      <c r="K51" s="208">
        <v>5000</v>
      </c>
      <c r="L51" s="469">
        <v>4000</v>
      </c>
      <c r="M51" s="186">
        <f>(J51/7)*12</f>
        <v>3012.1200000000003</v>
      </c>
      <c r="N51" s="174">
        <f t="shared" si="19"/>
        <v>-1987.8799999999997</v>
      </c>
      <c r="O51" s="241">
        <f>+M51/K51</f>
        <v>0.60242400000000007</v>
      </c>
      <c r="P51" s="165">
        <f t="shared" si="21"/>
        <v>-3242.93</v>
      </c>
      <c r="Q51" s="78">
        <f t="shared" si="22"/>
        <v>0.35141400000000006</v>
      </c>
    </row>
    <row r="52" spans="1:17" x14ac:dyDescent="0.25">
      <c r="A52" s="8" t="s">
        <v>71</v>
      </c>
      <c r="B52" s="136" t="s">
        <v>72</v>
      </c>
      <c r="C52" s="134">
        <f>C53+C58+C60</f>
        <v>971.78</v>
      </c>
      <c r="D52" s="134">
        <f>D53+D58+D60</f>
        <v>610.41999999999996</v>
      </c>
      <c r="E52" s="134">
        <f t="shared" ref="E52:H52" si="28">E53+E58+E60</f>
        <v>495.87</v>
      </c>
      <c r="F52" s="134">
        <f t="shared" si="28"/>
        <v>0</v>
      </c>
      <c r="G52" s="134">
        <f t="shared" si="28"/>
        <v>0</v>
      </c>
      <c r="H52" s="134">
        <f t="shared" si="28"/>
        <v>465.08</v>
      </c>
      <c r="I52" s="57">
        <f t="shared" ref="I52" si="29">I53+I58+I60</f>
        <v>0</v>
      </c>
      <c r="J52" s="231">
        <f t="shared" si="6"/>
        <v>2543.1499999999996</v>
      </c>
      <c r="K52" s="209">
        <v>18000</v>
      </c>
      <c r="L52" s="468">
        <v>19000</v>
      </c>
      <c r="M52" s="186">
        <f>(J52/7)*12</f>
        <v>4359.6857142857134</v>
      </c>
      <c r="N52" s="174">
        <f t="shared" si="19"/>
        <v>-13640.314285714287</v>
      </c>
      <c r="O52" s="241">
        <f>+M52/K52</f>
        <v>0.24220476190476187</v>
      </c>
      <c r="P52" s="165">
        <f t="shared" si="21"/>
        <v>-15456.85</v>
      </c>
      <c r="Q52" s="78">
        <f t="shared" si="22"/>
        <v>0.14128611111111108</v>
      </c>
    </row>
    <row r="53" spans="1:17" x14ac:dyDescent="0.25">
      <c r="A53" s="8" t="s">
        <v>73</v>
      </c>
      <c r="B53" s="18" t="s">
        <v>72</v>
      </c>
      <c r="C53" s="70">
        <f>C54+C55+C56+C57</f>
        <v>971.78</v>
      </c>
      <c r="D53" s="70">
        <f t="shared" ref="D53:G53" si="30">D54+D55+D56+D57</f>
        <v>610.41999999999996</v>
      </c>
      <c r="E53" s="70">
        <f t="shared" si="30"/>
        <v>0</v>
      </c>
      <c r="F53" s="70">
        <f t="shared" si="30"/>
        <v>0</v>
      </c>
      <c r="G53" s="70">
        <f t="shared" si="30"/>
        <v>0</v>
      </c>
      <c r="H53" s="70">
        <f>H54+H55+H56+H57</f>
        <v>453</v>
      </c>
      <c r="I53" s="74">
        <f t="shared" ref="I53" si="31">I54+I55+I56+I57</f>
        <v>0</v>
      </c>
      <c r="J53" s="231">
        <f t="shared" si="6"/>
        <v>2035.1999999999998</v>
      </c>
      <c r="K53" s="208">
        <v>6000</v>
      </c>
      <c r="L53" s="468">
        <f>L54+L59+L61</f>
        <v>18000</v>
      </c>
      <c r="M53" s="186">
        <f>(J53/7)*12</f>
        <v>3488.9142857142856</v>
      </c>
      <c r="N53" s="174">
        <f t="shared" si="19"/>
        <v>-2511.0857142857144</v>
      </c>
      <c r="O53" s="241">
        <f>+M53/K53</f>
        <v>0.58148571428571427</v>
      </c>
      <c r="P53" s="165">
        <f t="shared" si="21"/>
        <v>-3964.8</v>
      </c>
      <c r="Q53" s="78">
        <f t="shared" si="22"/>
        <v>0.33919999999999995</v>
      </c>
    </row>
    <row r="54" spans="1:17" x14ac:dyDescent="0.25">
      <c r="A54" s="6"/>
      <c r="B54" s="18" t="s">
        <v>74</v>
      </c>
      <c r="C54" s="70">
        <v>0</v>
      </c>
      <c r="D54" s="26"/>
      <c r="E54" s="26">
        <v>0</v>
      </c>
      <c r="F54" s="50"/>
      <c r="G54" s="50"/>
      <c r="H54" s="50"/>
      <c r="I54" s="59"/>
      <c r="J54" s="231"/>
      <c r="K54" s="208">
        <v>0</v>
      </c>
      <c r="L54" s="469">
        <v>0</v>
      </c>
      <c r="M54" s="186">
        <f>(J54/6)*12</f>
        <v>0</v>
      </c>
      <c r="N54" s="174">
        <f t="shared" si="19"/>
        <v>0</v>
      </c>
      <c r="O54" s="241"/>
      <c r="P54" s="165"/>
      <c r="Q54" s="78"/>
    </row>
    <row r="55" spans="1:17" x14ac:dyDescent="0.25">
      <c r="A55" s="6"/>
      <c r="B55" s="18" t="s">
        <v>75</v>
      </c>
      <c r="C55" s="70">
        <v>971.78</v>
      </c>
      <c r="D55" s="26">
        <v>610.41999999999996</v>
      </c>
      <c r="E55" s="26"/>
      <c r="F55" s="26"/>
      <c r="G55" s="26"/>
      <c r="H55" s="80">
        <v>453</v>
      </c>
      <c r="I55" s="58"/>
      <c r="J55" s="231">
        <f t="shared" si="6"/>
        <v>2035.1999999999998</v>
      </c>
      <c r="K55" s="208">
        <v>2000</v>
      </c>
      <c r="L55" s="469">
        <v>3000</v>
      </c>
      <c r="M55" s="186">
        <f>(J55/7)*12</f>
        <v>3488.9142857142856</v>
      </c>
      <c r="N55" s="174">
        <f t="shared" si="19"/>
        <v>1488.9142857142856</v>
      </c>
      <c r="O55" s="241">
        <f>+M55/K55</f>
        <v>1.7444571428571427</v>
      </c>
      <c r="P55" s="165">
        <f>J55-K55</f>
        <v>35.199999999999818</v>
      </c>
      <c r="Q55" s="78">
        <f>J55/K55</f>
        <v>1.0175999999999998</v>
      </c>
    </row>
    <row r="56" spans="1:17" x14ac:dyDescent="0.25">
      <c r="A56" s="6"/>
      <c r="B56" s="18" t="s">
        <v>76</v>
      </c>
      <c r="C56" s="70">
        <v>0</v>
      </c>
      <c r="D56" s="26"/>
      <c r="E56" s="26">
        <v>0</v>
      </c>
      <c r="F56" s="50"/>
      <c r="G56" s="50"/>
      <c r="H56" s="50"/>
      <c r="I56" s="59"/>
      <c r="J56" s="231"/>
      <c r="K56" s="208">
        <v>0</v>
      </c>
      <c r="L56" s="469">
        <v>0</v>
      </c>
      <c r="M56" s="186">
        <f>(J56/6)*12</f>
        <v>0</v>
      </c>
      <c r="N56" s="174">
        <f t="shared" si="19"/>
        <v>0</v>
      </c>
      <c r="O56" s="241"/>
      <c r="P56" s="165"/>
      <c r="Q56" s="78"/>
    </row>
    <row r="57" spans="1:17" x14ac:dyDescent="0.25">
      <c r="A57" s="6"/>
      <c r="B57" s="18" t="s">
        <v>22</v>
      </c>
      <c r="C57" s="70"/>
      <c r="D57" s="47"/>
      <c r="E57" s="26"/>
      <c r="F57" s="50"/>
      <c r="G57" s="26"/>
      <c r="H57" s="386"/>
      <c r="I57" s="139"/>
      <c r="J57" s="231">
        <f t="shared" si="6"/>
        <v>0</v>
      </c>
      <c r="K57" s="208">
        <v>4000</v>
      </c>
      <c r="L57" s="469">
        <v>0</v>
      </c>
      <c r="M57" s="186">
        <f>(J57/7)*12</f>
        <v>0</v>
      </c>
      <c r="N57" s="174">
        <f t="shared" si="19"/>
        <v>-4000</v>
      </c>
      <c r="O57" s="241"/>
      <c r="P57" s="165">
        <f>J57-K57</f>
        <v>-4000</v>
      </c>
      <c r="Q57" s="78">
        <f>J57/K57</f>
        <v>0</v>
      </c>
    </row>
    <row r="58" spans="1:17" x14ac:dyDescent="0.25">
      <c r="A58" s="8" t="s">
        <v>77</v>
      </c>
      <c r="B58" s="9" t="s">
        <v>78</v>
      </c>
      <c r="C58" s="70"/>
      <c r="D58" s="46"/>
      <c r="E58" s="26">
        <v>495.87</v>
      </c>
      <c r="F58" s="26"/>
      <c r="G58" s="26">
        <v>0</v>
      </c>
      <c r="H58" s="26">
        <v>12.08</v>
      </c>
      <c r="I58" s="58"/>
      <c r="J58" s="231">
        <f t="shared" si="6"/>
        <v>507.95</v>
      </c>
      <c r="K58" s="208">
        <v>10000</v>
      </c>
      <c r="L58" s="469">
        <v>10000</v>
      </c>
      <c r="M58" s="186">
        <f>(J58/7)*12</f>
        <v>870.7714285714286</v>
      </c>
      <c r="N58" s="174">
        <f t="shared" si="19"/>
        <v>-9129.2285714285717</v>
      </c>
      <c r="O58" s="241">
        <f>+M58/K58</f>
        <v>8.7077142857142867E-2</v>
      </c>
      <c r="P58" s="165">
        <f>J58-K58</f>
        <v>-9492.0499999999993</v>
      </c>
      <c r="Q58" s="78">
        <f>J58/K58</f>
        <v>5.0795E-2</v>
      </c>
    </row>
    <row r="59" spans="1:17" x14ac:dyDescent="0.25">
      <c r="A59" s="8" t="s">
        <v>79</v>
      </c>
      <c r="B59" s="9" t="s">
        <v>80</v>
      </c>
      <c r="C59" s="70">
        <v>0</v>
      </c>
      <c r="D59" s="26"/>
      <c r="E59" s="26">
        <v>0</v>
      </c>
      <c r="F59" s="50"/>
      <c r="G59" s="50"/>
      <c r="H59" s="50"/>
      <c r="I59" s="59"/>
      <c r="J59" s="231"/>
      <c r="K59" s="208">
        <v>0</v>
      </c>
      <c r="L59" s="469">
        <v>0</v>
      </c>
      <c r="M59" s="186">
        <f>(J59/6)*12</f>
        <v>0</v>
      </c>
      <c r="N59" s="174">
        <f t="shared" si="19"/>
        <v>0</v>
      </c>
      <c r="O59" s="241"/>
      <c r="P59" s="165"/>
      <c r="Q59" s="78"/>
    </row>
    <row r="60" spans="1:17" ht="15.75" thickBot="1" x14ac:dyDescent="0.3">
      <c r="A60" s="8" t="s">
        <v>81</v>
      </c>
      <c r="B60" s="38" t="s">
        <v>82</v>
      </c>
      <c r="C60" s="255"/>
      <c r="D60" s="188"/>
      <c r="E60" s="188"/>
      <c r="F60" s="189"/>
      <c r="G60" s="188"/>
      <c r="H60" s="189"/>
      <c r="I60" s="190"/>
      <c r="J60" s="232">
        <f t="shared" si="6"/>
        <v>0</v>
      </c>
      <c r="K60" s="257">
        <v>2000</v>
      </c>
      <c r="L60" s="518">
        <v>2000</v>
      </c>
      <c r="M60" s="258">
        <f>(J60/6)*12</f>
        <v>0</v>
      </c>
      <c r="N60" s="249">
        <f t="shared" si="19"/>
        <v>-2000</v>
      </c>
      <c r="O60" s="250"/>
      <c r="P60" s="165">
        <f t="shared" ref="P60:P68" si="32">J60-K60</f>
        <v>-2000</v>
      </c>
      <c r="Q60" s="78">
        <f t="shared" ref="Q60:Q68" si="33">J60/K60</f>
        <v>0</v>
      </c>
    </row>
    <row r="61" spans="1:17" ht="15.75" thickBot="1" x14ac:dyDescent="0.3">
      <c r="A61" s="394" t="s">
        <v>83</v>
      </c>
      <c r="B61" s="396" t="s">
        <v>84</v>
      </c>
      <c r="C61" s="397">
        <f t="shared" ref="C61:G61" si="34">SUM(C62:C63)</f>
        <v>64.91</v>
      </c>
      <c r="D61" s="397">
        <f t="shared" si="34"/>
        <v>0</v>
      </c>
      <c r="E61" s="397">
        <f t="shared" si="34"/>
        <v>0</v>
      </c>
      <c r="F61" s="397">
        <f t="shared" si="34"/>
        <v>1407.08</v>
      </c>
      <c r="G61" s="397">
        <f t="shared" si="34"/>
        <v>781.52</v>
      </c>
      <c r="H61" s="397">
        <f t="shared" ref="H61:I61" si="35">SUM(H62:H63)</f>
        <v>1028.3699999999999</v>
      </c>
      <c r="I61" s="398">
        <f t="shared" si="35"/>
        <v>534</v>
      </c>
      <c r="J61" s="268">
        <f t="shared" si="6"/>
        <v>3815.88</v>
      </c>
      <c r="K61" s="399">
        <v>12000</v>
      </c>
      <c r="L61" s="520">
        <f>L62+L63</f>
        <v>18000</v>
      </c>
      <c r="M61" s="400">
        <f t="shared" ref="M61:M99" si="36">(J61/7)*12</f>
        <v>6541.5085714285706</v>
      </c>
      <c r="N61" s="270">
        <f t="shared" si="19"/>
        <v>-5458.4914285714294</v>
      </c>
      <c r="O61" s="271">
        <f t="shared" ref="O61:O67" si="37">+M61/K61</f>
        <v>0.54512571428571421</v>
      </c>
      <c r="P61" s="165">
        <f t="shared" si="32"/>
        <v>-8184.12</v>
      </c>
      <c r="Q61" s="78">
        <f t="shared" si="33"/>
        <v>0.31798999999999999</v>
      </c>
    </row>
    <row r="62" spans="1:17" x14ac:dyDescent="0.25">
      <c r="A62" s="8" t="s">
        <v>85</v>
      </c>
      <c r="B62" s="272" t="s">
        <v>86</v>
      </c>
      <c r="C62" s="273">
        <v>64.91</v>
      </c>
      <c r="D62" s="5"/>
      <c r="E62" s="5"/>
      <c r="F62" s="395"/>
      <c r="G62" s="395"/>
      <c r="H62" s="395">
        <v>29.07</v>
      </c>
      <c r="I62" s="285"/>
      <c r="J62" s="230">
        <f t="shared" si="6"/>
        <v>93.97999999999999</v>
      </c>
      <c r="K62" s="299">
        <v>7000</v>
      </c>
      <c r="L62" s="469">
        <v>3000</v>
      </c>
      <c r="M62" s="186">
        <f t="shared" si="36"/>
        <v>161.10857142857139</v>
      </c>
      <c r="N62" s="173">
        <f t="shared" si="19"/>
        <v>-6838.8914285714291</v>
      </c>
      <c r="O62" s="251">
        <f t="shared" si="37"/>
        <v>2.301551020408163E-2</v>
      </c>
      <c r="P62" s="165">
        <f t="shared" si="32"/>
        <v>-6906.02</v>
      </c>
      <c r="Q62" s="78">
        <f t="shared" si="33"/>
        <v>1.3425714285714284E-2</v>
      </c>
    </row>
    <row r="63" spans="1:17" x14ac:dyDescent="0.25">
      <c r="A63" s="8" t="s">
        <v>87</v>
      </c>
      <c r="B63" s="9" t="s">
        <v>88</v>
      </c>
      <c r="C63" s="70"/>
      <c r="D63" s="26"/>
      <c r="E63" s="26"/>
      <c r="F63" s="51">
        <v>1407.08</v>
      </c>
      <c r="G63" s="51">
        <v>781.52</v>
      </c>
      <c r="H63" s="51">
        <v>999.3</v>
      </c>
      <c r="I63" s="135">
        <v>534</v>
      </c>
      <c r="J63" s="231">
        <f t="shared" si="6"/>
        <v>3721.8999999999996</v>
      </c>
      <c r="K63" s="203">
        <v>5000</v>
      </c>
      <c r="L63" s="469">
        <v>15000</v>
      </c>
      <c r="M63" s="186">
        <f t="shared" si="36"/>
        <v>6380.4</v>
      </c>
      <c r="N63" s="174">
        <f t="shared" si="19"/>
        <v>1380.3999999999996</v>
      </c>
      <c r="O63" s="241">
        <f t="shared" si="37"/>
        <v>1.2760799999999999</v>
      </c>
      <c r="P63" s="165">
        <f t="shared" si="32"/>
        <v>-1278.1000000000004</v>
      </c>
      <c r="Q63" s="78">
        <f t="shared" si="33"/>
        <v>0.74437999999999993</v>
      </c>
    </row>
    <row r="64" spans="1:17" x14ac:dyDescent="0.25">
      <c r="A64" s="14" t="s">
        <v>89</v>
      </c>
      <c r="B64" s="22" t="s">
        <v>90</v>
      </c>
      <c r="C64" s="72">
        <f>C65+C66+C67+C68+C69+C70+C71+C72+C73+C76+C79</f>
        <v>10088.629999999999</v>
      </c>
      <c r="D64" s="72">
        <f>D65+D66+D67+D68+D69+D70+D71+D72+D73+D76+D79</f>
        <v>10034.76</v>
      </c>
      <c r="E64" s="72">
        <f t="shared" ref="E64:G64" si="38">E65+E66+E67+E68+E69+E70+E71+E72+E73+E76+E79</f>
        <v>8808.0600000000013</v>
      </c>
      <c r="F64" s="72">
        <f t="shared" si="38"/>
        <v>7182.2699999999995</v>
      </c>
      <c r="G64" s="72">
        <f t="shared" si="38"/>
        <v>5628.5000000000009</v>
      </c>
      <c r="H64" s="23">
        <f>H65+H66+H67+H68+H69+H70+H71+H72+H73+H76+H79</f>
        <v>5525.06</v>
      </c>
      <c r="I64" s="62">
        <f>I65+I66+I67+I68+I69+I70+I71+I72+I73+I76+I79</f>
        <v>5637.4900000000007</v>
      </c>
      <c r="J64" s="231">
        <f t="shared" si="6"/>
        <v>52904.77</v>
      </c>
      <c r="K64" s="211">
        <v>97400</v>
      </c>
      <c r="L64" s="519">
        <f>SUM(L65:L73)+L76+L79</f>
        <v>97100</v>
      </c>
      <c r="M64" s="457">
        <f t="shared" si="36"/>
        <v>90693.891428571427</v>
      </c>
      <c r="N64" s="174">
        <f t="shared" si="19"/>
        <v>-6706.1085714285728</v>
      </c>
      <c r="O64" s="241">
        <f t="shared" si="37"/>
        <v>0.93114878263420353</v>
      </c>
      <c r="P64" s="165">
        <f t="shared" si="32"/>
        <v>-44495.23</v>
      </c>
      <c r="Q64" s="78">
        <f t="shared" si="33"/>
        <v>0.54317012320328539</v>
      </c>
    </row>
    <row r="65" spans="1:17" x14ac:dyDescent="0.25">
      <c r="A65" s="8" t="s">
        <v>91</v>
      </c>
      <c r="B65" s="9" t="s">
        <v>92</v>
      </c>
      <c r="C65" s="70">
        <v>86.5</v>
      </c>
      <c r="D65" s="26">
        <v>17.2</v>
      </c>
      <c r="E65" s="26">
        <v>123.47</v>
      </c>
      <c r="F65" s="26">
        <v>36.5</v>
      </c>
      <c r="G65" s="26">
        <v>47.2</v>
      </c>
      <c r="H65" s="26">
        <v>126.9</v>
      </c>
      <c r="I65" s="58">
        <v>86.5</v>
      </c>
      <c r="J65" s="231">
        <f t="shared" si="6"/>
        <v>524.27</v>
      </c>
      <c r="K65" s="208">
        <v>1000</v>
      </c>
      <c r="L65" s="469">
        <v>1000</v>
      </c>
      <c r="M65" s="186">
        <f t="shared" si="36"/>
        <v>898.74857142857127</v>
      </c>
      <c r="N65" s="174">
        <f t="shared" si="19"/>
        <v>-101.25142857142873</v>
      </c>
      <c r="O65" s="241">
        <f t="shared" si="37"/>
        <v>0.89874857142857123</v>
      </c>
      <c r="P65" s="165">
        <f t="shared" si="32"/>
        <v>-475.73</v>
      </c>
      <c r="Q65" s="78">
        <f t="shared" si="33"/>
        <v>0.52427000000000001</v>
      </c>
    </row>
    <row r="66" spans="1:17" x14ac:dyDescent="0.25">
      <c r="A66" s="8" t="s">
        <v>93</v>
      </c>
      <c r="B66" s="9" t="s">
        <v>94</v>
      </c>
      <c r="C66" s="70">
        <v>72.02</v>
      </c>
      <c r="D66" s="26">
        <v>53.2</v>
      </c>
      <c r="E66" s="26">
        <v>49.4</v>
      </c>
      <c r="F66" s="26">
        <v>52.64</v>
      </c>
      <c r="G66" s="26">
        <v>71.2</v>
      </c>
      <c r="H66" s="26">
        <v>63.07</v>
      </c>
      <c r="I66" s="58">
        <v>55.65</v>
      </c>
      <c r="J66" s="231">
        <f t="shared" si="6"/>
        <v>417.17999999999995</v>
      </c>
      <c r="K66" s="208">
        <v>1000</v>
      </c>
      <c r="L66" s="469">
        <v>1000</v>
      </c>
      <c r="M66" s="186">
        <f t="shared" si="36"/>
        <v>715.16571428571422</v>
      </c>
      <c r="N66" s="174">
        <f t="shared" si="19"/>
        <v>-284.83428571428578</v>
      </c>
      <c r="O66" s="241">
        <f t="shared" si="37"/>
        <v>0.71516571428571418</v>
      </c>
      <c r="P66" s="165">
        <f t="shared" si="32"/>
        <v>-582.82000000000005</v>
      </c>
      <c r="Q66" s="78">
        <f t="shared" si="33"/>
        <v>0.41717999999999994</v>
      </c>
    </row>
    <row r="67" spans="1:17" x14ac:dyDescent="0.25">
      <c r="A67" s="8">
        <v>61252</v>
      </c>
      <c r="B67" s="9" t="s">
        <v>95</v>
      </c>
      <c r="C67" s="70">
        <v>2098.6999999999998</v>
      </c>
      <c r="D67" s="26">
        <v>1631.99</v>
      </c>
      <c r="E67" s="26">
        <v>1325.79</v>
      </c>
      <c r="F67" s="26">
        <v>1302.33</v>
      </c>
      <c r="G67" s="26">
        <v>1270.7</v>
      </c>
      <c r="H67" s="26">
        <v>1331.27</v>
      </c>
      <c r="I67" s="58">
        <v>1313.07</v>
      </c>
      <c r="J67" s="231">
        <f t="shared" si="6"/>
        <v>10273.849999999999</v>
      </c>
      <c r="K67" s="208">
        <v>15000</v>
      </c>
      <c r="L67" s="469">
        <v>20000</v>
      </c>
      <c r="M67" s="186">
        <f t="shared" si="36"/>
        <v>17612.314285714281</v>
      </c>
      <c r="N67" s="174">
        <f t="shared" si="19"/>
        <v>2612.3142857142811</v>
      </c>
      <c r="O67" s="241">
        <f t="shared" si="37"/>
        <v>1.1741542857142855</v>
      </c>
      <c r="P67" s="165">
        <f t="shared" si="32"/>
        <v>-4726.1500000000015</v>
      </c>
      <c r="Q67" s="78">
        <f t="shared" si="33"/>
        <v>0.68492333333333322</v>
      </c>
    </row>
    <row r="68" spans="1:17" x14ac:dyDescent="0.25">
      <c r="A68" s="8">
        <v>61253</v>
      </c>
      <c r="B68" s="9" t="s">
        <v>96</v>
      </c>
      <c r="C68" s="70"/>
      <c r="D68" s="26"/>
      <c r="E68" s="26"/>
      <c r="F68" s="26"/>
      <c r="G68" s="26"/>
      <c r="H68" s="26">
        <v>0</v>
      </c>
      <c r="I68" s="58"/>
      <c r="J68" s="231">
        <f t="shared" si="6"/>
        <v>0</v>
      </c>
      <c r="K68" s="208">
        <v>5000</v>
      </c>
      <c r="L68" s="469">
        <v>0</v>
      </c>
      <c r="M68" s="186">
        <f t="shared" si="36"/>
        <v>0</v>
      </c>
      <c r="N68" s="174">
        <f t="shared" si="19"/>
        <v>-5000</v>
      </c>
      <c r="O68" s="241"/>
      <c r="P68" s="165">
        <f t="shared" si="32"/>
        <v>-5000</v>
      </c>
      <c r="Q68" s="78">
        <f t="shared" si="33"/>
        <v>0</v>
      </c>
    </row>
    <row r="69" spans="1:17" x14ac:dyDescent="0.25">
      <c r="A69" s="8" t="s">
        <v>97</v>
      </c>
      <c r="B69" s="9" t="s">
        <v>98</v>
      </c>
      <c r="C69" s="70">
        <v>0</v>
      </c>
      <c r="D69" s="26"/>
      <c r="E69" s="26">
        <v>0</v>
      </c>
      <c r="F69" s="50"/>
      <c r="G69" s="50"/>
      <c r="H69" s="50"/>
      <c r="I69" s="59"/>
      <c r="J69" s="231"/>
      <c r="K69" s="208">
        <v>0</v>
      </c>
      <c r="L69" s="469">
        <v>0</v>
      </c>
      <c r="M69" s="186">
        <f t="shared" si="36"/>
        <v>0</v>
      </c>
      <c r="N69" s="174">
        <f t="shared" si="19"/>
        <v>0</v>
      </c>
      <c r="O69" s="241"/>
      <c r="P69" s="165"/>
      <c r="Q69" s="78"/>
    </row>
    <row r="70" spans="1:17" x14ac:dyDescent="0.25">
      <c r="A70" s="8" t="s">
        <v>99</v>
      </c>
      <c r="B70" s="9" t="s">
        <v>100</v>
      </c>
      <c r="C70" s="70"/>
      <c r="D70" s="26"/>
      <c r="E70" s="26">
        <v>0</v>
      </c>
      <c r="F70" s="50"/>
      <c r="G70" s="50"/>
      <c r="H70" s="50"/>
      <c r="I70" s="59"/>
      <c r="J70" s="231"/>
      <c r="K70" s="208"/>
      <c r="L70" s="469">
        <v>0</v>
      </c>
      <c r="M70" s="186">
        <f t="shared" si="36"/>
        <v>0</v>
      </c>
      <c r="N70" s="174">
        <f t="shared" si="19"/>
        <v>0</v>
      </c>
      <c r="O70" s="241"/>
      <c r="P70" s="165"/>
      <c r="Q70" s="78"/>
    </row>
    <row r="71" spans="1:17" x14ac:dyDescent="0.25">
      <c r="A71" s="8" t="s">
        <v>101</v>
      </c>
      <c r="B71" s="9" t="s">
        <v>102</v>
      </c>
      <c r="C71" s="70">
        <v>171.15</v>
      </c>
      <c r="D71" s="26">
        <v>167.34</v>
      </c>
      <c r="E71" s="26">
        <v>88.98</v>
      </c>
      <c r="F71" s="26">
        <v>175.37</v>
      </c>
      <c r="G71" s="26">
        <v>270.92</v>
      </c>
      <c r="H71" s="26">
        <v>119.82</v>
      </c>
      <c r="I71" s="58">
        <v>128.87</v>
      </c>
      <c r="J71" s="231">
        <f t="shared" si="6"/>
        <v>1122.4499999999998</v>
      </c>
      <c r="K71" s="208">
        <v>1000</v>
      </c>
      <c r="L71" s="469">
        <v>2000</v>
      </c>
      <c r="M71" s="186">
        <f t="shared" si="36"/>
        <v>1924.1999999999996</v>
      </c>
      <c r="N71" s="174">
        <f t="shared" ref="N71:N102" si="39">M71-K71</f>
        <v>924.19999999999959</v>
      </c>
      <c r="O71" s="241">
        <f>+M71/K71</f>
        <v>1.9241999999999997</v>
      </c>
      <c r="P71" s="165">
        <f>J71-K71</f>
        <v>122.44999999999982</v>
      </c>
      <c r="Q71" s="78">
        <f>J71/K71</f>
        <v>1.1224499999999997</v>
      </c>
    </row>
    <row r="72" spans="1:17" ht="15.75" thickBot="1" x14ac:dyDescent="0.3">
      <c r="A72" s="8" t="s">
        <v>103</v>
      </c>
      <c r="B72" s="38" t="s">
        <v>104</v>
      </c>
      <c r="C72" s="255"/>
      <c r="D72" s="188">
        <v>175.05</v>
      </c>
      <c r="E72" s="188"/>
      <c r="F72" s="188"/>
      <c r="G72" s="188"/>
      <c r="H72" s="188"/>
      <c r="I72" s="256"/>
      <c r="J72" s="232">
        <f t="shared" si="6"/>
        <v>175.05</v>
      </c>
      <c r="K72" s="257">
        <v>1000</v>
      </c>
      <c r="L72" s="518">
        <v>500</v>
      </c>
      <c r="M72" s="258">
        <f t="shared" si="36"/>
        <v>300.08571428571429</v>
      </c>
      <c r="N72" s="249">
        <f t="shared" si="39"/>
        <v>-699.91428571428571</v>
      </c>
      <c r="O72" s="250">
        <f>+M72/K72</f>
        <v>0.30008571428571429</v>
      </c>
      <c r="P72" s="165">
        <f>J72-K72</f>
        <v>-824.95</v>
      </c>
      <c r="Q72" s="78">
        <f>J72/K72</f>
        <v>0.17505000000000001</v>
      </c>
    </row>
    <row r="73" spans="1:17" x14ac:dyDescent="0.25">
      <c r="A73" s="401"/>
      <c r="B73" s="409" t="s">
        <v>105</v>
      </c>
      <c r="C73" s="410">
        <f t="shared" ref="C73:G73" si="40">+SUM(C74:C75)</f>
        <v>1484.33</v>
      </c>
      <c r="D73" s="410">
        <f>+SUM(D74:D75)</f>
        <v>2063.61</v>
      </c>
      <c r="E73" s="410">
        <f t="shared" si="40"/>
        <v>1822.99</v>
      </c>
      <c r="F73" s="410">
        <f t="shared" si="40"/>
        <v>2589.9499999999998</v>
      </c>
      <c r="G73" s="410">
        <f t="shared" si="40"/>
        <v>1604.93</v>
      </c>
      <c r="H73" s="411">
        <f t="shared" ref="H73:I73" si="41">+SUM(H74:H75)</f>
        <v>1932.47</v>
      </c>
      <c r="I73" s="412">
        <f t="shared" si="41"/>
        <v>1992.38</v>
      </c>
      <c r="J73" s="413">
        <f t="shared" ref="J73:J134" si="42">SUM(C73:I73)</f>
        <v>13490.66</v>
      </c>
      <c r="K73" s="414">
        <v>20000</v>
      </c>
      <c r="L73" s="521">
        <f>L74+L75</f>
        <v>23000</v>
      </c>
      <c r="M73" s="415">
        <f t="shared" si="36"/>
        <v>23126.845714285715</v>
      </c>
      <c r="N73" s="244">
        <f t="shared" si="39"/>
        <v>3126.8457142857151</v>
      </c>
      <c r="O73" s="246">
        <f>+M73/K73</f>
        <v>1.1563422857142858</v>
      </c>
      <c r="P73" s="165">
        <f>J73-K73</f>
        <v>-6509.34</v>
      </c>
      <c r="Q73" s="78">
        <f>J73/K73</f>
        <v>0.67453299999999994</v>
      </c>
    </row>
    <row r="74" spans="1:17" x14ac:dyDescent="0.25">
      <c r="A74" s="401" t="s">
        <v>106</v>
      </c>
      <c r="B74" s="416" t="s">
        <v>107</v>
      </c>
      <c r="C74" s="70">
        <v>1484.33</v>
      </c>
      <c r="D74" s="12">
        <v>2063.61</v>
      </c>
      <c r="E74" s="26">
        <v>1822.99</v>
      </c>
      <c r="F74" s="26">
        <v>2589.9499999999998</v>
      </c>
      <c r="G74" s="26">
        <v>1604.93</v>
      </c>
      <c r="H74" s="26">
        <v>1932.47</v>
      </c>
      <c r="I74" s="58">
        <v>1992.38</v>
      </c>
      <c r="J74" s="231">
        <f t="shared" si="42"/>
        <v>13490.66</v>
      </c>
      <c r="K74" s="203">
        <v>20000</v>
      </c>
      <c r="L74" s="469">
        <v>23000</v>
      </c>
      <c r="M74" s="186">
        <f t="shared" si="36"/>
        <v>23126.845714285715</v>
      </c>
      <c r="N74" s="174">
        <f t="shared" si="39"/>
        <v>3126.8457142857151</v>
      </c>
      <c r="O74" s="241">
        <f>+M74/K74</f>
        <v>1.1563422857142858</v>
      </c>
      <c r="P74" s="165">
        <f>J74-K74</f>
        <v>-6509.34</v>
      </c>
      <c r="Q74" s="78">
        <f>J74/K74</f>
        <v>0.67453299999999994</v>
      </c>
    </row>
    <row r="75" spans="1:17" x14ac:dyDescent="0.25">
      <c r="A75" s="402" t="s">
        <v>108</v>
      </c>
      <c r="B75" s="416" t="s">
        <v>109</v>
      </c>
      <c r="C75" s="70">
        <v>0</v>
      </c>
      <c r="D75" s="12"/>
      <c r="E75" s="26">
        <v>0</v>
      </c>
      <c r="F75" s="50"/>
      <c r="G75" s="50"/>
      <c r="H75" s="50"/>
      <c r="I75" s="59"/>
      <c r="J75" s="231"/>
      <c r="K75" s="203">
        <v>0</v>
      </c>
      <c r="L75" s="469">
        <v>0</v>
      </c>
      <c r="M75" s="186">
        <f t="shared" si="36"/>
        <v>0</v>
      </c>
      <c r="N75" s="174">
        <f t="shared" si="39"/>
        <v>0</v>
      </c>
      <c r="O75" s="241"/>
      <c r="P75" s="165"/>
      <c r="Q75" s="78"/>
    </row>
    <row r="76" spans="1:17" x14ac:dyDescent="0.25">
      <c r="A76" s="403"/>
      <c r="B76" s="417" t="s">
        <v>110</v>
      </c>
      <c r="C76" s="68">
        <v>2394.35</v>
      </c>
      <c r="D76" s="12">
        <v>2181.5</v>
      </c>
      <c r="E76" s="12">
        <v>2251.3200000000002</v>
      </c>
      <c r="F76" s="12">
        <v>2012.29</v>
      </c>
      <c r="G76" s="12">
        <v>2022.99</v>
      </c>
      <c r="H76" s="12">
        <v>1791.9</v>
      </c>
      <c r="I76" s="57">
        <v>1955.25</v>
      </c>
      <c r="J76" s="231">
        <f t="shared" si="42"/>
        <v>14609.599999999999</v>
      </c>
      <c r="K76" s="209">
        <v>34000</v>
      </c>
      <c r="L76" s="468">
        <f>L77+L78</f>
        <v>27000</v>
      </c>
      <c r="M76" s="186">
        <f t="shared" si="36"/>
        <v>25045.028571428567</v>
      </c>
      <c r="N76" s="174">
        <f t="shared" si="39"/>
        <v>-8954.9714285714326</v>
      </c>
      <c r="O76" s="241">
        <f>+M76/K76</f>
        <v>0.73661848739495783</v>
      </c>
      <c r="P76" s="165">
        <f t="shared" ref="P76:P83" si="43">J76-K76</f>
        <v>-19390.400000000001</v>
      </c>
      <c r="Q76" s="78">
        <f t="shared" ref="Q76:Q83" si="44">J76/K76</f>
        <v>0.42969411764705878</v>
      </c>
    </row>
    <row r="77" spans="1:17" x14ac:dyDescent="0.25">
      <c r="A77" s="401" t="s">
        <v>111</v>
      </c>
      <c r="B77" s="416" t="s">
        <v>112</v>
      </c>
      <c r="C77" s="70"/>
      <c r="D77" s="26"/>
      <c r="E77" s="26"/>
      <c r="F77" s="50"/>
      <c r="G77" s="50"/>
      <c r="H77" s="50"/>
      <c r="I77" s="59"/>
      <c r="J77" s="231"/>
      <c r="K77" s="203">
        <v>4000</v>
      </c>
      <c r="L77" s="469">
        <v>0</v>
      </c>
      <c r="M77" s="186">
        <f t="shared" si="36"/>
        <v>0</v>
      </c>
      <c r="N77" s="174">
        <f t="shared" si="39"/>
        <v>-4000</v>
      </c>
      <c r="O77" s="241"/>
      <c r="P77" s="165">
        <f t="shared" si="43"/>
        <v>-4000</v>
      </c>
      <c r="Q77" s="78">
        <f t="shared" si="44"/>
        <v>0</v>
      </c>
    </row>
    <row r="78" spans="1:17" x14ac:dyDescent="0.25">
      <c r="A78" s="401" t="s">
        <v>111</v>
      </c>
      <c r="B78" s="416" t="s">
        <v>113</v>
      </c>
      <c r="C78" s="70">
        <v>2394</v>
      </c>
      <c r="D78" s="26">
        <v>2181.5</v>
      </c>
      <c r="E78" s="26">
        <v>2251.3200000000002</v>
      </c>
      <c r="F78" s="26">
        <v>2012.29</v>
      </c>
      <c r="G78" s="26">
        <v>2022.99</v>
      </c>
      <c r="H78" s="26">
        <v>1791.9</v>
      </c>
      <c r="I78" s="58">
        <v>1955.25</v>
      </c>
      <c r="J78" s="231">
        <f t="shared" si="42"/>
        <v>14609.25</v>
      </c>
      <c r="K78" s="203">
        <v>30000</v>
      </c>
      <c r="L78" s="469">
        <v>27000</v>
      </c>
      <c r="M78" s="186">
        <f t="shared" si="36"/>
        <v>25044.428571428572</v>
      </c>
      <c r="N78" s="174">
        <f t="shared" si="39"/>
        <v>-4955.5714285714275</v>
      </c>
      <c r="O78" s="241">
        <f>+M78/K78</f>
        <v>0.83481428571428573</v>
      </c>
      <c r="P78" s="165">
        <f t="shared" si="43"/>
        <v>-15390.75</v>
      </c>
      <c r="Q78" s="78">
        <f t="shared" si="44"/>
        <v>0.48697499999999999</v>
      </c>
    </row>
    <row r="79" spans="1:17" x14ac:dyDescent="0.25">
      <c r="A79" s="401"/>
      <c r="B79" s="417" t="s">
        <v>114</v>
      </c>
      <c r="C79" s="68">
        <f>3746.58+35</f>
        <v>3781.58</v>
      </c>
      <c r="D79" s="12">
        <f>3709.87+35</f>
        <v>3744.87</v>
      </c>
      <c r="E79" s="12">
        <f>3080.71+65.4</f>
        <v>3146.11</v>
      </c>
      <c r="F79" s="12">
        <f>911.31+101.88</f>
        <v>1013.1899999999999</v>
      </c>
      <c r="G79" s="12">
        <f>263+77.56</f>
        <v>340.56</v>
      </c>
      <c r="H79" s="12">
        <f>101.88+57.75</f>
        <v>159.63</v>
      </c>
      <c r="I79" s="57">
        <f>52.53+53.24</f>
        <v>105.77000000000001</v>
      </c>
      <c r="J79" s="231">
        <f t="shared" si="42"/>
        <v>12291.71</v>
      </c>
      <c r="K79" s="209">
        <v>19400</v>
      </c>
      <c r="L79" s="468">
        <f>L80+L81+L82</f>
        <v>22600</v>
      </c>
      <c r="M79" s="186">
        <f t="shared" si="36"/>
        <v>21071.502857142856</v>
      </c>
      <c r="N79" s="174">
        <f t="shared" si="39"/>
        <v>1671.5028571428556</v>
      </c>
      <c r="O79" s="241">
        <f>+M79/K79</f>
        <v>1.0861599410898379</v>
      </c>
      <c r="P79" s="165">
        <f t="shared" si="43"/>
        <v>-7108.2900000000009</v>
      </c>
      <c r="Q79" s="78">
        <f t="shared" si="44"/>
        <v>0.63359329896907213</v>
      </c>
    </row>
    <row r="80" spans="1:17" x14ac:dyDescent="0.25">
      <c r="A80" s="401" t="s">
        <v>115</v>
      </c>
      <c r="B80" s="416" t="s">
        <v>116</v>
      </c>
      <c r="C80" s="70"/>
      <c r="D80" s="26"/>
      <c r="E80" s="26"/>
      <c r="F80" s="50"/>
      <c r="G80" s="50"/>
      <c r="H80" s="50"/>
      <c r="I80" s="59"/>
      <c r="J80" s="231"/>
      <c r="K80" s="203">
        <v>4000</v>
      </c>
      <c r="L80" s="469">
        <v>0</v>
      </c>
      <c r="M80" s="186">
        <f t="shared" si="36"/>
        <v>0</v>
      </c>
      <c r="N80" s="174">
        <f t="shared" si="39"/>
        <v>-4000</v>
      </c>
      <c r="O80" s="241"/>
      <c r="P80" s="165">
        <f t="shared" si="43"/>
        <v>-4000</v>
      </c>
      <c r="Q80" s="78">
        <f t="shared" si="44"/>
        <v>0</v>
      </c>
    </row>
    <row r="81" spans="1:17" x14ac:dyDescent="0.25">
      <c r="A81" s="401" t="s">
        <v>115</v>
      </c>
      <c r="B81" s="416" t="s">
        <v>117</v>
      </c>
      <c r="C81" s="70">
        <v>3746.58</v>
      </c>
      <c r="D81" s="26">
        <v>3709.87</v>
      </c>
      <c r="E81" s="26">
        <v>3080.71</v>
      </c>
      <c r="F81" s="26">
        <v>911.31</v>
      </c>
      <c r="G81" s="26">
        <v>263.77999999999997</v>
      </c>
      <c r="H81" s="26">
        <v>57.75</v>
      </c>
      <c r="I81" s="58">
        <v>52.53</v>
      </c>
      <c r="J81" s="231">
        <f t="shared" si="42"/>
        <v>11822.53</v>
      </c>
      <c r="K81" s="203">
        <v>15000</v>
      </c>
      <c r="L81" s="469">
        <v>22000</v>
      </c>
      <c r="M81" s="186">
        <f t="shared" si="36"/>
        <v>20267.194285714286</v>
      </c>
      <c r="N81" s="174">
        <f t="shared" si="39"/>
        <v>5267.1942857142858</v>
      </c>
      <c r="O81" s="241">
        <f>+M81/K81</f>
        <v>1.3511462857142857</v>
      </c>
      <c r="P81" s="165">
        <f t="shared" si="43"/>
        <v>-3177.4699999999993</v>
      </c>
      <c r="Q81" s="78">
        <f t="shared" si="44"/>
        <v>0.78816866666666674</v>
      </c>
    </row>
    <row r="82" spans="1:17" ht="15.75" thickBot="1" x14ac:dyDescent="0.3">
      <c r="A82" s="401" t="s">
        <v>118</v>
      </c>
      <c r="B82" s="418" t="s">
        <v>119</v>
      </c>
      <c r="C82" s="419">
        <v>35</v>
      </c>
      <c r="D82" s="420">
        <v>35</v>
      </c>
      <c r="E82" s="420">
        <v>65.400000000000006</v>
      </c>
      <c r="F82" s="420">
        <v>101.88</v>
      </c>
      <c r="G82" s="420">
        <v>77.56</v>
      </c>
      <c r="H82" s="420">
        <v>101.88</v>
      </c>
      <c r="I82" s="421">
        <v>52.53</v>
      </c>
      <c r="J82" s="422">
        <f t="shared" si="42"/>
        <v>469.25</v>
      </c>
      <c r="K82" s="423">
        <v>400</v>
      </c>
      <c r="L82" s="522">
        <v>600</v>
      </c>
      <c r="M82" s="424">
        <f t="shared" si="36"/>
        <v>804.42857142857156</v>
      </c>
      <c r="N82" s="245">
        <f t="shared" si="39"/>
        <v>404.42857142857156</v>
      </c>
      <c r="O82" s="247">
        <f>+M82/K82</f>
        <v>2.0110714285714288</v>
      </c>
      <c r="P82" s="165">
        <f t="shared" si="43"/>
        <v>69.25</v>
      </c>
      <c r="Q82" s="78">
        <f t="shared" si="44"/>
        <v>1.173125</v>
      </c>
    </row>
    <row r="83" spans="1:17" x14ac:dyDescent="0.25">
      <c r="A83" s="11" t="s">
        <v>120</v>
      </c>
      <c r="B83" s="404" t="s">
        <v>121</v>
      </c>
      <c r="C83" s="405">
        <f>C84+C85</f>
        <v>254.84</v>
      </c>
      <c r="D83" s="405">
        <f t="shared" ref="D83:G83" si="45">D84+D85</f>
        <v>370.45</v>
      </c>
      <c r="E83" s="405">
        <f t="shared" si="45"/>
        <v>267.3</v>
      </c>
      <c r="F83" s="405">
        <f t="shared" si="45"/>
        <v>267.3</v>
      </c>
      <c r="G83" s="405">
        <f t="shared" si="45"/>
        <v>267.3</v>
      </c>
      <c r="H83" s="406">
        <f t="shared" ref="H83:I83" si="46">H84+H85</f>
        <v>267.3</v>
      </c>
      <c r="I83" s="407">
        <f t="shared" si="46"/>
        <v>267.3</v>
      </c>
      <c r="J83" s="230">
        <f t="shared" si="42"/>
        <v>1961.7899999999997</v>
      </c>
      <c r="K83" s="408">
        <v>2500</v>
      </c>
      <c r="L83" s="523">
        <f>L84+L85</f>
        <v>3300</v>
      </c>
      <c r="M83" s="173">
        <f t="shared" si="36"/>
        <v>3363.068571428571</v>
      </c>
      <c r="N83" s="173">
        <f t="shared" si="39"/>
        <v>863.06857142857098</v>
      </c>
      <c r="O83" s="251">
        <f>+M83/K83</f>
        <v>1.3452274285714283</v>
      </c>
      <c r="P83" s="165">
        <f t="shared" si="43"/>
        <v>-538.21000000000026</v>
      </c>
      <c r="Q83" s="78">
        <f t="shared" si="44"/>
        <v>0.78471599999999986</v>
      </c>
    </row>
    <row r="84" spans="1:17" x14ac:dyDescent="0.25">
      <c r="A84" s="11"/>
      <c r="B84" s="18" t="s">
        <v>122</v>
      </c>
      <c r="C84" s="70"/>
      <c r="D84" s="26"/>
      <c r="E84" s="26">
        <v>0</v>
      </c>
      <c r="F84" s="50"/>
      <c r="G84" s="50"/>
      <c r="H84" s="50"/>
      <c r="I84" s="59"/>
      <c r="J84" s="231"/>
      <c r="K84" s="208"/>
      <c r="L84" s="469">
        <v>0</v>
      </c>
      <c r="M84" s="186">
        <f t="shared" si="36"/>
        <v>0</v>
      </c>
      <c r="N84" s="174">
        <f t="shared" si="39"/>
        <v>0</v>
      </c>
      <c r="O84" s="241"/>
      <c r="P84" s="165"/>
      <c r="Q84" s="78"/>
    </row>
    <row r="85" spans="1:17" x14ac:dyDescent="0.25">
      <c r="A85" s="11"/>
      <c r="B85" s="18" t="s">
        <v>637</v>
      </c>
      <c r="C85" s="70">
        <v>254.84</v>
      </c>
      <c r="D85" s="26">
        <v>370.45</v>
      </c>
      <c r="E85" s="26">
        <v>267.3</v>
      </c>
      <c r="F85" s="26">
        <v>267.3</v>
      </c>
      <c r="G85" s="26">
        <v>267.3</v>
      </c>
      <c r="H85" s="26">
        <v>267.3</v>
      </c>
      <c r="I85" s="58">
        <v>267.3</v>
      </c>
      <c r="J85" s="231">
        <f t="shared" si="42"/>
        <v>1961.7899999999997</v>
      </c>
      <c r="K85" s="208">
        <v>2500</v>
      </c>
      <c r="L85" s="469">
        <v>3300</v>
      </c>
      <c r="M85" s="186">
        <f t="shared" si="36"/>
        <v>3363.068571428571</v>
      </c>
      <c r="N85" s="174">
        <f t="shared" si="39"/>
        <v>863.06857142857098</v>
      </c>
      <c r="O85" s="241">
        <f>+M85/K85</f>
        <v>1.3452274285714283</v>
      </c>
      <c r="P85" s="165">
        <f>J85-K85</f>
        <v>-538.21000000000026</v>
      </c>
      <c r="Q85" s="78">
        <f>J85/K85</f>
        <v>0.78471599999999986</v>
      </c>
    </row>
    <row r="86" spans="1:17" x14ac:dyDescent="0.25">
      <c r="A86" s="8" t="s">
        <v>123</v>
      </c>
      <c r="B86" s="22" t="s">
        <v>124</v>
      </c>
      <c r="C86" s="72">
        <v>0</v>
      </c>
      <c r="D86" s="23">
        <v>0</v>
      </c>
      <c r="E86" s="50">
        <v>0</v>
      </c>
      <c r="F86" s="50"/>
      <c r="G86" s="50"/>
      <c r="H86" s="50"/>
      <c r="I86" s="59"/>
      <c r="J86" s="231"/>
      <c r="K86" s="211">
        <v>0</v>
      </c>
      <c r="L86" s="519">
        <v>0</v>
      </c>
      <c r="M86" s="186">
        <f t="shared" si="36"/>
        <v>0</v>
      </c>
      <c r="N86" s="174">
        <f t="shared" si="39"/>
        <v>0</v>
      </c>
      <c r="O86" s="241"/>
      <c r="P86" s="165"/>
      <c r="Q86" s="78"/>
    </row>
    <row r="87" spans="1:17" x14ac:dyDescent="0.25">
      <c r="A87" s="8" t="s">
        <v>125</v>
      </c>
      <c r="B87" s="25" t="s">
        <v>126</v>
      </c>
      <c r="C87" s="70">
        <v>0</v>
      </c>
      <c r="D87" s="26"/>
      <c r="E87" s="26">
        <v>0</v>
      </c>
      <c r="F87" s="50"/>
      <c r="G87" s="50"/>
      <c r="H87" s="50"/>
      <c r="I87" s="59"/>
      <c r="J87" s="231"/>
      <c r="K87" s="208">
        <v>0</v>
      </c>
      <c r="L87" s="469">
        <v>0</v>
      </c>
      <c r="M87" s="186">
        <f t="shared" si="36"/>
        <v>0</v>
      </c>
      <c r="N87" s="174">
        <f t="shared" si="39"/>
        <v>0</v>
      </c>
      <c r="O87" s="241"/>
      <c r="P87" s="165"/>
      <c r="Q87" s="78"/>
    </row>
    <row r="88" spans="1:17" x14ac:dyDescent="0.25">
      <c r="A88" s="8" t="s">
        <v>127</v>
      </c>
      <c r="B88" s="25" t="s">
        <v>128</v>
      </c>
      <c r="C88" s="70">
        <v>0</v>
      </c>
      <c r="D88" s="26"/>
      <c r="E88" s="26">
        <v>0</v>
      </c>
      <c r="F88" s="50"/>
      <c r="G88" s="50"/>
      <c r="H88" s="50"/>
      <c r="I88" s="59"/>
      <c r="J88" s="231"/>
      <c r="K88" s="208">
        <v>0</v>
      </c>
      <c r="L88" s="469">
        <v>0</v>
      </c>
      <c r="M88" s="186">
        <f t="shared" si="36"/>
        <v>0</v>
      </c>
      <c r="N88" s="174">
        <f t="shared" si="39"/>
        <v>0</v>
      </c>
      <c r="O88" s="241"/>
      <c r="P88" s="165"/>
      <c r="Q88" s="78"/>
    </row>
    <row r="89" spans="1:17" x14ac:dyDescent="0.25">
      <c r="A89" s="8" t="s">
        <v>129</v>
      </c>
      <c r="B89" s="22" t="s">
        <v>130</v>
      </c>
      <c r="C89" s="72">
        <f t="shared" ref="C89:G89" si="47">+SUM(C90:C91)</f>
        <v>3135.88</v>
      </c>
      <c r="D89" s="72">
        <f t="shared" si="47"/>
        <v>3135.77</v>
      </c>
      <c r="E89" s="72">
        <f t="shared" si="47"/>
        <v>3135.77</v>
      </c>
      <c r="F89" s="72">
        <f t="shared" si="47"/>
        <v>3135.77</v>
      </c>
      <c r="G89" s="72">
        <f t="shared" si="47"/>
        <v>3135.77</v>
      </c>
      <c r="H89" s="23">
        <f t="shared" ref="H89:I89" si="48">+SUM(H90:H91)</f>
        <v>3135.77</v>
      </c>
      <c r="I89" s="62">
        <f t="shared" si="48"/>
        <v>3385.77</v>
      </c>
      <c r="J89" s="231">
        <f t="shared" si="42"/>
        <v>22200.5</v>
      </c>
      <c r="K89" s="211">
        <v>53000</v>
      </c>
      <c r="L89" s="519">
        <f>L90+L91</f>
        <v>38500</v>
      </c>
      <c r="M89" s="173">
        <f t="shared" si="36"/>
        <v>38058</v>
      </c>
      <c r="N89" s="174">
        <f t="shared" si="39"/>
        <v>-14942</v>
      </c>
      <c r="O89" s="241">
        <f>+M89/K89</f>
        <v>0.71807547169811325</v>
      </c>
      <c r="P89" s="165">
        <f>J89-K89</f>
        <v>-30799.5</v>
      </c>
      <c r="Q89" s="78">
        <f>J89/K89</f>
        <v>0.41887735849056607</v>
      </c>
    </row>
    <row r="90" spans="1:17" x14ac:dyDescent="0.25">
      <c r="A90" s="8" t="s">
        <v>131</v>
      </c>
      <c r="B90" s="9" t="s">
        <v>132</v>
      </c>
      <c r="C90" s="80">
        <v>3135.88</v>
      </c>
      <c r="D90" s="26">
        <v>3135.77</v>
      </c>
      <c r="E90" s="26">
        <v>3135.77</v>
      </c>
      <c r="F90" s="26">
        <v>3135.77</v>
      </c>
      <c r="G90" s="26">
        <v>3135.77</v>
      </c>
      <c r="H90" s="26">
        <v>3135.77</v>
      </c>
      <c r="I90" s="58">
        <v>3385.77</v>
      </c>
      <c r="J90" s="231">
        <f t="shared" si="42"/>
        <v>22200.5</v>
      </c>
      <c r="K90" s="208">
        <v>53000</v>
      </c>
      <c r="L90" s="469">
        <v>38500</v>
      </c>
      <c r="M90" s="186">
        <f t="shared" si="36"/>
        <v>38058</v>
      </c>
      <c r="N90" s="174">
        <f t="shared" si="39"/>
        <v>-14942</v>
      </c>
      <c r="O90" s="241">
        <f>+M90/K90</f>
        <v>0.71807547169811325</v>
      </c>
      <c r="P90" s="165">
        <f>J90-K90</f>
        <v>-30799.5</v>
      </c>
      <c r="Q90" s="78">
        <f>J90/K90</f>
        <v>0.41887735849056607</v>
      </c>
    </row>
    <row r="91" spans="1:17" x14ac:dyDescent="0.25">
      <c r="A91" s="8" t="s">
        <v>133</v>
      </c>
      <c r="B91" s="9" t="s">
        <v>134</v>
      </c>
      <c r="C91" s="70">
        <v>0</v>
      </c>
      <c r="D91" s="26">
        <v>0</v>
      </c>
      <c r="E91" s="26">
        <v>0</v>
      </c>
      <c r="F91" s="50"/>
      <c r="G91" s="50"/>
      <c r="H91" s="50"/>
      <c r="I91" s="59"/>
      <c r="J91" s="231"/>
      <c r="K91" s="208">
        <v>0</v>
      </c>
      <c r="L91" s="469">
        <v>0</v>
      </c>
      <c r="M91" s="186">
        <f t="shared" si="36"/>
        <v>0</v>
      </c>
      <c r="N91" s="174">
        <f t="shared" si="39"/>
        <v>0</v>
      </c>
      <c r="O91" s="241"/>
      <c r="P91" s="165"/>
      <c r="Q91" s="78"/>
    </row>
    <row r="92" spans="1:17" x14ac:dyDescent="0.25">
      <c r="A92" s="8" t="s">
        <v>135</v>
      </c>
      <c r="B92" s="22" t="s">
        <v>136</v>
      </c>
      <c r="C92" s="72">
        <f t="shared" ref="C92:G92" si="49">C93+C99+C100+C105+C106+C107</f>
        <v>3120.04</v>
      </c>
      <c r="D92" s="72">
        <f t="shared" si="49"/>
        <v>12448.01</v>
      </c>
      <c r="E92" s="72">
        <f t="shared" si="49"/>
        <v>9558.130000000001</v>
      </c>
      <c r="F92" s="72">
        <f t="shared" si="49"/>
        <v>5183.99</v>
      </c>
      <c r="G92" s="72">
        <f t="shared" si="49"/>
        <v>8497.52</v>
      </c>
      <c r="H92" s="23">
        <f t="shared" ref="H92" si="50">H93+H99+H100+H105+H106+H107</f>
        <v>5112.5200000000004</v>
      </c>
      <c r="I92" s="62">
        <f>I93+I99+I100+I105+I106+I107</f>
        <v>6411.68</v>
      </c>
      <c r="J92" s="231">
        <f t="shared" si="42"/>
        <v>50331.890000000007</v>
      </c>
      <c r="K92" s="211">
        <v>110619</v>
      </c>
      <c r="L92" s="519">
        <f>L93+L99+L100+L105+L106+L107</f>
        <v>88230</v>
      </c>
      <c r="M92" s="173">
        <f t="shared" si="36"/>
        <v>86283.24000000002</v>
      </c>
      <c r="N92" s="174">
        <f t="shared" si="39"/>
        <v>-24335.75999999998</v>
      </c>
      <c r="O92" s="241">
        <f>+M92/K92</f>
        <v>0.78000379681609866</v>
      </c>
      <c r="P92" s="165">
        <f>J92-K92</f>
        <v>-60287.109999999993</v>
      </c>
      <c r="Q92" s="78">
        <f>J92/K92</f>
        <v>0.45500221480939085</v>
      </c>
    </row>
    <row r="93" spans="1:17" x14ac:dyDescent="0.25">
      <c r="A93" s="8">
        <v>6150</v>
      </c>
      <c r="B93" s="24" t="s">
        <v>137</v>
      </c>
      <c r="C93" s="71">
        <f t="shared" ref="C93:G93" si="51">C94+C95+C96+C97+C98</f>
        <v>990</v>
      </c>
      <c r="D93" s="71">
        <f t="shared" si="51"/>
        <v>5285</v>
      </c>
      <c r="E93" s="71">
        <f t="shared" si="51"/>
        <v>4860</v>
      </c>
      <c r="F93" s="71">
        <f t="shared" si="51"/>
        <v>550</v>
      </c>
      <c r="G93" s="71">
        <f t="shared" si="51"/>
        <v>3880</v>
      </c>
      <c r="H93" s="27">
        <f t="shared" ref="H93:I93" si="52">H94+H95+H96+H97+H98</f>
        <v>495</v>
      </c>
      <c r="I93" s="160">
        <f t="shared" si="52"/>
        <v>2500</v>
      </c>
      <c r="J93" s="231">
        <f t="shared" si="42"/>
        <v>18560</v>
      </c>
      <c r="K93" s="210">
        <v>50000</v>
      </c>
      <c r="L93" s="470">
        <f>SUM(L94:L98)</f>
        <v>30000</v>
      </c>
      <c r="M93" s="186">
        <f t="shared" si="36"/>
        <v>31817.142857142859</v>
      </c>
      <c r="N93" s="458">
        <f t="shared" si="39"/>
        <v>-18182.857142857141</v>
      </c>
      <c r="O93" s="241">
        <f>+M93/K93</f>
        <v>0.63634285714285721</v>
      </c>
      <c r="P93" s="165">
        <f>J93-K93</f>
        <v>-31440</v>
      </c>
      <c r="Q93" s="78">
        <f>J93/K93</f>
        <v>0.37119999999999997</v>
      </c>
    </row>
    <row r="94" spans="1:17" x14ac:dyDescent="0.25">
      <c r="A94" s="6"/>
      <c r="B94" s="18" t="s">
        <v>138</v>
      </c>
      <c r="C94" s="70">
        <v>990</v>
      </c>
      <c r="D94" s="26">
        <v>5285</v>
      </c>
      <c r="E94" s="26">
        <v>4860</v>
      </c>
      <c r="F94" s="26">
        <v>550</v>
      </c>
      <c r="G94" s="51">
        <v>3880</v>
      </c>
      <c r="H94" s="26">
        <v>495</v>
      </c>
      <c r="I94" s="58">
        <v>2500</v>
      </c>
      <c r="J94" s="231">
        <f t="shared" si="42"/>
        <v>18560</v>
      </c>
      <c r="K94" s="208">
        <v>50000</v>
      </c>
      <c r="L94" s="469">
        <v>30000</v>
      </c>
      <c r="M94" s="186">
        <f t="shared" si="36"/>
        <v>31817.142857142859</v>
      </c>
      <c r="N94" s="174">
        <f t="shared" si="39"/>
        <v>-18182.857142857141</v>
      </c>
      <c r="O94" s="241">
        <f>+M94/K94</f>
        <v>0.63634285714285721</v>
      </c>
      <c r="P94" s="165">
        <f>J94-K94</f>
        <v>-31440</v>
      </c>
      <c r="Q94" s="78">
        <f>J94/K94</f>
        <v>0.37119999999999997</v>
      </c>
    </row>
    <row r="95" spans="1:17" x14ac:dyDescent="0.25">
      <c r="A95" s="6"/>
      <c r="B95" s="18" t="s">
        <v>139</v>
      </c>
      <c r="C95" s="70">
        <v>0</v>
      </c>
      <c r="D95" s="26"/>
      <c r="E95" s="26">
        <v>0</v>
      </c>
      <c r="F95" s="50"/>
      <c r="G95" s="50"/>
      <c r="H95" s="50"/>
      <c r="I95" s="59"/>
      <c r="J95" s="231"/>
      <c r="K95" s="208">
        <v>0</v>
      </c>
      <c r="L95" s="469">
        <v>0</v>
      </c>
      <c r="M95" s="186">
        <f t="shared" si="36"/>
        <v>0</v>
      </c>
      <c r="N95" s="174">
        <f t="shared" si="39"/>
        <v>0</v>
      </c>
      <c r="O95" s="241"/>
      <c r="P95" s="165"/>
      <c r="Q95" s="78"/>
    </row>
    <row r="96" spans="1:17" x14ac:dyDescent="0.25">
      <c r="A96" s="6"/>
      <c r="B96" s="18" t="s">
        <v>140</v>
      </c>
      <c r="C96" s="70">
        <v>0</v>
      </c>
      <c r="D96" s="26"/>
      <c r="E96" s="26">
        <v>0</v>
      </c>
      <c r="F96" s="50"/>
      <c r="G96" s="50"/>
      <c r="H96" s="50"/>
      <c r="I96" s="59"/>
      <c r="J96" s="231"/>
      <c r="K96" s="208">
        <v>0</v>
      </c>
      <c r="L96" s="469">
        <v>0</v>
      </c>
      <c r="M96" s="186">
        <f t="shared" si="36"/>
        <v>0</v>
      </c>
      <c r="N96" s="174">
        <f t="shared" si="39"/>
        <v>0</v>
      </c>
      <c r="O96" s="241"/>
      <c r="P96" s="165"/>
      <c r="Q96" s="78"/>
    </row>
    <row r="97" spans="1:17" x14ac:dyDescent="0.25">
      <c r="A97" s="182"/>
      <c r="B97" s="183" t="s">
        <v>141</v>
      </c>
      <c r="C97" s="70">
        <v>0</v>
      </c>
      <c r="D97" s="80"/>
      <c r="E97" s="80"/>
      <c r="F97" s="184"/>
      <c r="G97" s="184"/>
      <c r="H97" s="184"/>
      <c r="I97" s="59"/>
      <c r="J97" s="231">
        <f t="shared" si="42"/>
        <v>0</v>
      </c>
      <c r="K97" s="208">
        <v>0</v>
      </c>
      <c r="L97" s="469">
        <v>0</v>
      </c>
      <c r="M97" s="186">
        <f t="shared" si="36"/>
        <v>0</v>
      </c>
      <c r="N97" s="174">
        <f t="shared" si="39"/>
        <v>0</v>
      </c>
      <c r="O97" s="241"/>
      <c r="P97" s="165">
        <f>J97-K97</f>
        <v>0</v>
      </c>
      <c r="Q97" s="78" t="e">
        <f>J97/K97</f>
        <v>#DIV/0!</v>
      </c>
    </row>
    <row r="98" spans="1:17" x14ac:dyDescent="0.25">
      <c r="A98" s="28"/>
      <c r="B98" s="9" t="s">
        <v>142</v>
      </c>
      <c r="C98" s="70">
        <v>0</v>
      </c>
      <c r="D98" s="26"/>
      <c r="E98" s="26">
        <v>0</v>
      </c>
      <c r="F98" s="50"/>
      <c r="G98" s="50"/>
      <c r="H98" s="50"/>
      <c r="I98" s="59"/>
      <c r="J98" s="231"/>
      <c r="K98" s="208">
        <v>0</v>
      </c>
      <c r="L98" s="469">
        <v>0</v>
      </c>
      <c r="M98" s="186">
        <f t="shared" si="36"/>
        <v>0</v>
      </c>
      <c r="N98" s="174">
        <f t="shared" si="39"/>
        <v>0</v>
      </c>
      <c r="O98" s="241"/>
      <c r="P98" s="165"/>
      <c r="Q98" s="78"/>
    </row>
    <row r="99" spans="1:17" x14ac:dyDescent="0.25">
      <c r="A99" s="11" t="s">
        <v>143</v>
      </c>
      <c r="B99" s="9" t="s">
        <v>144</v>
      </c>
      <c r="C99" s="70">
        <v>2117.52</v>
      </c>
      <c r="D99" s="26">
        <v>2117.52</v>
      </c>
      <c r="E99" s="26">
        <v>1775.97</v>
      </c>
      <c r="F99" s="26">
        <v>1639.38</v>
      </c>
      <c r="G99" s="26">
        <v>2117.52</v>
      </c>
      <c r="H99" s="26">
        <v>2117.52</v>
      </c>
      <c r="I99" s="58">
        <v>1411.68</v>
      </c>
      <c r="J99" s="231">
        <f t="shared" si="42"/>
        <v>13297.11</v>
      </c>
      <c r="K99" s="208">
        <v>22619</v>
      </c>
      <c r="L99" s="469">
        <v>28230</v>
      </c>
      <c r="M99" s="186">
        <f t="shared" si="36"/>
        <v>22795.045714285716</v>
      </c>
      <c r="N99" s="174">
        <f t="shared" si="39"/>
        <v>176.0457142857158</v>
      </c>
      <c r="O99" s="241">
        <f>+M99/K99</f>
        <v>1.0077830900696634</v>
      </c>
      <c r="P99" s="165">
        <f>J99-K99</f>
        <v>-9321.89</v>
      </c>
      <c r="Q99" s="78">
        <f>J99/K99</f>
        <v>0.58787346920730366</v>
      </c>
    </row>
    <row r="100" spans="1:17" x14ac:dyDescent="0.25">
      <c r="A100" s="8" t="s">
        <v>145</v>
      </c>
      <c r="B100" s="9" t="s">
        <v>146</v>
      </c>
      <c r="C100" s="70"/>
      <c r="D100" s="26"/>
      <c r="E100" s="26"/>
      <c r="F100" s="50"/>
      <c r="G100" s="50"/>
      <c r="H100" s="26"/>
      <c r="I100" s="58"/>
      <c r="J100" s="231">
        <f t="shared" si="42"/>
        <v>0</v>
      </c>
      <c r="K100" s="208">
        <v>4000</v>
      </c>
      <c r="L100" s="469">
        <v>0</v>
      </c>
      <c r="M100" s="186">
        <f>(J100/6)*12</f>
        <v>0</v>
      </c>
      <c r="N100" s="174">
        <f t="shared" si="39"/>
        <v>-4000</v>
      </c>
      <c r="O100" s="241"/>
      <c r="P100" s="165">
        <f>J100-K100</f>
        <v>-4000</v>
      </c>
      <c r="Q100" s="78">
        <f>J100/K100</f>
        <v>0</v>
      </c>
    </row>
    <row r="101" spans="1:17" x14ac:dyDescent="0.25">
      <c r="A101" s="8" t="s">
        <v>147</v>
      </c>
      <c r="B101" s="7" t="s">
        <v>148</v>
      </c>
      <c r="C101" s="68">
        <f>C102+C103+C104</f>
        <v>0</v>
      </c>
      <c r="D101" s="12">
        <v>0</v>
      </c>
      <c r="E101" s="12">
        <v>0</v>
      </c>
      <c r="F101" s="50"/>
      <c r="G101" s="50"/>
      <c r="H101" s="50"/>
      <c r="I101" s="59"/>
      <c r="J101" s="231"/>
      <c r="K101" s="209">
        <v>0</v>
      </c>
      <c r="L101" s="468">
        <v>0</v>
      </c>
      <c r="M101" s="186">
        <f>(J101/6)*12</f>
        <v>0</v>
      </c>
      <c r="N101" s="174">
        <f t="shared" si="39"/>
        <v>0</v>
      </c>
      <c r="O101" s="241"/>
      <c r="P101" s="165"/>
      <c r="Q101" s="78"/>
    </row>
    <row r="102" spans="1:17" x14ac:dyDescent="0.25">
      <c r="A102" s="6"/>
      <c r="B102" s="18" t="s">
        <v>149</v>
      </c>
      <c r="C102" s="70">
        <v>0</v>
      </c>
      <c r="D102" s="26"/>
      <c r="E102" s="26">
        <v>0</v>
      </c>
      <c r="F102" s="50"/>
      <c r="G102" s="50"/>
      <c r="H102" s="50"/>
      <c r="I102" s="59"/>
      <c r="J102" s="231"/>
      <c r="K102" s="208">
        <v>0</v>
      </c>
      <c r="L102" s="469">
        <v>0</v>
      </c>
      <c r="M102" s="186">
        <f>(J102/6)*12</f>
        <v>0</v>
      </c>
      <c r="N102" s="174">
        <f t="shared" si="39"/>
        <v>0</v>
      </c>
      <c r="O102" s="241"/>
      <c r="P102" s="165"/>
      <c r="Q102" s="78"/>
    </row>
    <row r="103" spans="1:17" x14ac:dyDescent="0.25">
      <c r="A103" s="6"/>
      <c r="B103" s="18" t="s">
        <v>150</v>
      </c>
      <c r="C103" s="70">
        <v>0</v>
      </c>
      <c r="D103" s="26"/>
      <c r="E103" s="26">
        <v>0</v>
      </c>
      <c r="F103" s="50"/>
      <c r="G103" s="50"/>
      <c r="H103" s="50"/>
      <c r="I103" s="59"/>
      <c r="J103" s="231"/>
      <c r="K103" s="208">
        <v>0</v>
      </c>
      <c r="L103" s="469">
        <v>0</v>
      </c>
      <c r="M103" s="186">
        <f>(J103/6)*12</f>
        <v>0</v>
      </c>
      <c r="N103" s="174">
        <f t="shared" ref="N103:N134" si="53">M103-K103</f>
        <v>0</v>
      </c>
      <c r="O103" s="241"/>
      <c r="P103" s="165"/>
      <c r="Q103" s="78"/>
    </row>
    <row r="104" spans="1:17" x14ac:dyDescent="0.25">
      <c r="A104" s="6"/>
      <c r="B104" s="18" t="s">
        <v>151</v>
      </c>
      <c r="C104" s="70">
        <v>0</v>
      </c>
      <c r="D104" s="26"/>
      <c r="E104" s="26">
        <v>0</v>
      </c>
      <c r="F104" s="50"/>
      <c r="G104" s="50"/>
      <c r="H104" s="50"/>
      <c r="I104" s="59"/>
      <c r="J104" s="231"/>
      <c r="K104" s="208">
        <v>0</v>
      </c>
      <c r="L104" s="469">
        <v>0</v>
      </c>
      <c r="M104" s="186">
        <f>(J104/6)*12</f>
        <v>0</v>
      </c>
      <c r="N104" s="174">
        <f t="shared" si="53"/>
        <v>0</v>
      </c>
      <c r="O104" s="241"/>
      <c r="P104" s="165"/>
      <c r="Q104" s="78"/>
    </row>
    <row r="105" spans="1:17" x14ac:dyDescent="0.25">
      <c r="A105" s="8" t="s">
        <v>152</v>
      </c>
      <c r="B105" s="9" t="s">
        <v>153</v>
      </c>
      <c r="C105" s="70"/>
      <c r="D105" s="425">
        <v>5025</v>
      </c>
      <c r="E105" s="26">
        <v>2500</v>
      </c>
      <c r="F105" s="26">
        <v>2867.5</v>
      </c>
      <c r="G105" s="26">
        <v>2500</v>
      </c>
      <c r="H105" s="26">
        <v>2500</v>
      </c>
      <c r="I105" s="58">
        <v>2500</v>
      </c>
      <c r="J105" s="231">
        <f t="shared" si="42"/>
        <v>17892.5</v>
      </c>
      <c r="K105" s="208">
        <v>30000</v>
      </c>
      <c r="L105" s="469">
        <v>30000</v>
      </c>
      <c r="M105" s="186">
        <f>(J105/7)*12</f>
        <v>30672.857142857141</v>
      </c>
      <c r="N105" s="174">
        <f t="shared" si="53"/>
        <v>672.8571428571413</v>
      </c>
      <c r="O105" s="241">
        <f>+M105/K105</f>
        <v>1.0224285714285715</v>
      </c>
      <c r="P105" s="165">
        <f t="shared" ref="P105:P116" si="54">J105-K105</f>
        <v>-12107.5</v>
      </c>
      <c r="Q105" s="78">
        <f t="shared" ref="Q105:Q116" si="55">J105/K105</f>
        <v>0.59641666666666671</v>
      </c>
    </row>
    <row r="106" spans="1:17" x14ac:dyDescent="0.25">
      <c r="A106" s="8" t="s">
        <v>154</v>
      </c>
      <c r="B106" s="9" t="s">
        <v>155</v>
      </c>
      <c r="C106" s="70">
        <v>12.52</v>
      </c>
      <c r="D106" s="26">
        <v>20.49</v>
      </c>
      <c r="E106" s="26">
        <v>422.16</v>
      </c>
      <c r="F106" s="26">
        <v>127.11</v>
      </c>
      <c r="G106" s="26"/>
      <c r="H106" s="26"/>
      <c r="I106" s="58"/>
      <c r="J106" s="231">
        <f t="shared" si="42"/>
        <v>582.28</v>
      </c>
      <c r="K106" s="208">
        <v>4000</v>
      </c>
      <c r="L106" s="469">
        <v>0</v>
      </c>
      <c r="M106" s="186">
        <f>(J106/7)*12</f>
        <v>998.1942857142858</v>
      </c>
      <c r="N106" s="174">
        <f t="shared" si="53"/>
        <v>-3001.8057142857142</v>
      </c>
      <c r="O106" s="241">
        <f>+M106/K106</f>
        <v>0.24954857142857145</v>
      </c>
      <c r="P106" s="165">
        <f t="shared" si="54"/>
        <v>-3417.7200000000003</v>
      </c>
      <c r="Q106" s="78">
        <f t="shared" si="55"/>
        <v>0.14557</v>
      </c>
    </row>
    <row r="107" spans="1:17" x14ac:dyDescent="0.25">
      <c r="A107" s="8">
        <v>61523</v>
      </c>
      <c r="B107" s="9" t="s">
        <v>156</v>
      </c>
      <c r="C107" s="70">
        <v>0</v>
      </c>
      <c r="D107" s="47"/>
      <c r="E107" s="26"/>
      <c r="F107" s="50"/>
      <c r="G107" s="50"/>
      <c r="H107" s="50"/>
      <c r="I107" s="59"/>
      <c r="J107" s="231"/>
      <c r="K107" s="208">
        <v>0</v>
      </c>
      <c r="L107" s="469">
        <v>0</v>
      </c>
      <c r="M107" s="186">
        <f>(J107/6)*12</f>
        <v>0</v>
      </c>
      <c r="N107" s="174">
        <f t="shared" si="53"/>
        <v>0</v>
      </c>
      <c r="O107" s="241"/>
      <c r="P107" s="165">
        <f t="shared" si="54"/>
        <v>0</v>
      </c>
      <c r="Q107" s="78" t="e">
        <f t="shared" si="55"/>
        <v>#DIV/0!</v>
      </c>
    </row>
    <row r="108" spans="1:17" x14ac:dyDescent="0.25">
      <c r="A108" s="8" t="s">
        <v>157</v>
      </c>
      <c r="B108" s="15" t="s">
        <v>158</v>
      </c>
      <c r="C108" s="81">
        <f>C109+C110+C111</f>
        <v>260.89999999999998</v>
      </c>
      <c r="D108" s="81">
        <f t="shared" ref="D108:G108" si="56">D109+D110+D111</f>
        <v>446.9</v>
      </c>
      <c r="E108" s="81">
        <f t="shared" si="56"/>
        <v>257.02999999999997</v>
      </c>
      <c r="F108" s="81">
        <f t="shared" si="56"/>
        <v>257.02999999999997</v>
      </c>
      <c r="G108" s="81">
        <f t="shared" si="56"/>
        <v>257.02999999999997</v>
      </c>
      <c r="H108" s="29">
        <f t="shared" ref="H108:I108" si="57">H109+H110+H111</f>
        <v>257.02999999999997</v>
      </c>
      <c r="I108" s="137">
        <f t="shared" si="57"/>
        <v>257.02999999999997</v>
      </c>
      <c r="J108" s="231">
        <f t="shared" si="42"/>
        <v>1992.9499999999998</v>
      </c>
      <c r="K108" s="208">
        <v>2500</v>
      </c>
      <c r="L108" s="469">
        <f>SUM(L109:L111)</f>
        <v>3500</v>
      </c>
      <c r="M108" s="186">
        <f>(J108/7)*12</f>
        <v>3416.4857142857145</v>
      </c>
      <c r="N108" s="174">
        <f t="shared" si="53"/>
        <v>916.48571428571449</v>
      </c>
      <c r="O108" s="241">
        <f>+M108/K108</f>
        <v>1.3665942857142859</v>
      </c>
      <c r="P108" s="165">
        <f t="shared" si="54"/>
        <v>-507.05000000000018</v>
      </c>
      <c r="Q108" s="78">
        <f t="shared" si="55"/>
        <v>0.79717999999999989</v>
      </c>
    </row>
    <row r="109" spans="1:17" x14ac:dyDescent="0.25">
      <c r="A109" s="8" t="s">
        <v>159</v>
      </c>
      <c r="B109" s="9" t="s">
        <v>160</v>
      </c>
      <c r="C109" s="70">
        <v>0</v>
      </c>
      <c r="D109" s="26"/>
      <c r="E109" s="26"/>
      <c r="F109" s="50"/>
      <c r="G109" s="50"/>
      <c r="H109" s="50"/>
      <c r="I109" s="59"/>
      <c r="J109" s="231"/>
      <c r="K109" s="208">
        <v>0</v>
      </c>
      <c r="L109" s="469">
        <v>0</v>
      </c>
      <c r="M109" s="186">
        <f>(J109/6)*12</f>
        <v>0</v>
      </c>
      <c r="N109" s="174">
        <f t="shared" si="53"/>
        <v>0</v>
      </c>
      <c r="O109" s="241"/>
      <c r="P109" s="165">
        <f t="shared" si="54"/>
        <v>0</v>
      </c>
      <c r="Q109" s="78" t="e">
        <f t="shared" si="55"/>
        <v>#DIV/0!</v>
      </c>
    </row>
    <row r="110" spans="1:17" x14ac:dyDescent="0.25">
      <c r="A110" s="8" t="s">
        <v>161</v>
      </c>
      <c r="B110" s="9" t="s">
        <v>162</v>
      </c>
      <c r="C110" s="70">
        <v>189.89</v>
      </c>
      <c r="D110" s="26">
        <v>189.89</v>
      </c>
      <c r="E110" s="26">
        <v>189.88</v>
      </c>
      <c r="F110" s="26">
        <v>189.88</v>
      </c>
      <c r="G110" s="26">
        <v>189.88</v>
      </c>
      <c r="H110" s="26">
        <v>189.88</v>
      </c>
      <c r="I110" s="58">
        <v>189.88</v>
      </c>
      <c r="J110" s="231">
        <f t="shared" si="42"/>
        <v>1329.1799999999998</v>
      </c>
      <c r="K110" s="208">
        <v>1500</v>
      </c>
      <c r="L110" s="469">
        <v>2500</v>
      </c>
      <c r="M110" s="186">
        <f>(J110/7)*12</f>
        <v>2278.5942857142854</v>
      </c>
      <c r="N110" s="174">
        <f t="shared" si="53"/>
        <v>778.59428571428543</v>
      </c>
      <c r="O110" s="241">
        <f>+M110/K110</f>
        <v>1.519062857142857</v>
      </c>
      <c r="P110" s="165">
        <f t="shared" si="54"/>
        <v>-170.82000000000016</v>
      </c>
      <c r="Q110" s="78">
        <f t="shared" si="55"/>
        <v>0.88611999999999991</v>
      </c>
    </row>
    <row r="111" spans="1:17" ht="14.25" customHeight="1" x14ac:dyDescent="0.25">
      <c r="A111" s="8" t="s">
        <v>163</v>
      </c>
      <c r="B111" s="9" t="s">
        <v>164</v>
      </c>
      <c r="C111" s="70">
        <v>71.010000000000005</v>
      </c>
      <c r="D111" s="26">
        <v>257.01</v>
      </c>
      <c r="E111" s="26">
        <v>67.150000000000006</v>
      </c>
      <c r="F111" s="26">
        <v>67.150000000000006</v>
      </c>
      <c r="G111" s="26">
        <v>67.150000000000006</v>
      </c>
      <c r="H111" s="26">
        <v>67.150000000000006</v>
      </c>
      <c r="I111" s="58">
        <v>67.150000000000006</v>
      </c>
      <c r="J111" s="231">
        <f t="shared" si="42"/>
        <v>663.76999999999987</v>
      </c>
      <c r="K111" s="208">
        <v>1000</v>
      </c>
      <c r="L111" s="469">
        <v>1000</v>
      </c>
      <c r="M111" s="186">
        <f>(J111/7)*12</f>
        <v>1137.8914285714284</v>
      </c>
      <c r="N111" s="174">
        <f t="shared" si="53"/>
        <v>137.89142857142838</v>
      </c>
      <c r="O111" s="241">
        <f>+M111/K111</f>
        <v>1.1378914285714283</v>
      </c>
      <c r="P111" s="165">
        <f t="shared" si="54"/>
        <v>-336.23000000000013</v>
      </c>
      <c r="Q111" s="78">
        <f t="shared" si="55"/>
        <v>0.66376999999999986</v>
      </c>
    </row>
    <row r="112" spans="1:17" x14ac:dyDescent="0.25">
      <c r="A112" s="14" t="s">
        <v>165</v>
      </c>
      <c r="B112" s="22" t="s">
        <v>166</v>
      </c>
      <c r="C112" s="72">
        <f>C113+C114+C115+C116+C118</f>
        <v>902.52</v>
      </c>
      <c r="D112" s="72">
        <f t="shared" ref="D112:G112" si="58">D113+D114+D115+D116+D118</f>
        <v>3267.71</v>
      </c>
      <c r="E112" s="72">
        <f t="shared" si="58"/>
        <v>1211.8599999999999</v>
      </c>
      <c r="F112" s="72">
        <f t="shared" si="58"/>
        <v>664.06000000000006</v>
      </c>
      <c r="G112" s="72">
        <f t="shared" si="58"/>
        <v>726.59</v>
      </c>
      <c r="H112" s="23">
        <f t="shared" ref="H112:I112" si="59">H113+H114+H115+H116+H118</f>
        <v>644.49</v>
      </c>
      <c r="I112" s="62">
        <f t="shared" si="59"/>
        <v>767.73</v>
      </c>
      <c r="J112" s="231">
        <f t="shared" si="42"/>
        <v>8184.9599999999991</v>
      </c>
      <c r="K112" s="211">
        <v>33100</v>
      </c>
      <c r="L112" s="519">
        <f>SUM(L113:L116)+L118</f>
        <v>20700</v>
      </c>
      <c r="M112" s="173">
        <f>(J112/7)*12</f>
        <v>14031.36</v>
      </c>
      <c r="N112" s="174">
        <f t="shared" si="53"/>
        <v>-19068.64</v>
      </c>
      <c r="O112" s="241">
        <f>+M112/K112</f>
        <v>0.42390815709969792</v>
      </c>
      <c r="P112" s="165">
        <f t="shared" si="54"/>
        <v>-24915.040000000001</v>
      </c>
      <c r="Q112" s="78">
        <f t="shared" si="55"/>
        <v>0.24727975830815707</v>
      </c>
    </row>
    <row r="113" spans="1:17" x14ac:dyDescent="0.25">
      <c r="A113" s="8" t="s">
        <v>167</v>
      </c>
      <c r="B113" s="9" t="s">
        <v>168</v>
      </c>
      <c r="C113" s="70"/>
      <c r="D113" s="26"/>
      <c r="E113" s="26"/>
      <c r="F113" s="26"/>
      <c r="G113" s="26">
        <v>0</v>
      </c>
      <c r="H113" s="26"/>
      <c r="I113" s="138"/>
      <c r="J113" s="231">
        <f t="shared" si="42"/>
        <v>0</v>
      </c>
      <c r="K113" s="208">
        <v>11000</v>
      </c>
      <c r="L113" s="469">
        <v>5000</v>
      </c>
      <c r="M113" s="186">
        <f>(J113/6)*12</f>
        <v>0</v>
      </c>
      <c r="N113" s="174">
        <f t="shared" si="53"/>
        <v>-11000</v>
      </c>
      <c r="O113" s="241"/>
      <c r="P113" s="165">
        <f t="shared" si="54"/>
        <v>-11000</v>
      </c>
      <c r="Q113" s="78">
        <f t="shared" si="55"/>
        <v>0</v>
      </c>
    </row>
    <row r="114" spans="1:17" x14ac:dyDescent="0.25">
      <c r="A114" s="8" t="s">
        <v>169</v>
      </c>
      <c r="B114" s="9" t="s">
        <v>170</v>
      </c>
      <c r="C114" s="70"/>
      <c r="D114" s="26"/>
      <c r="E114" s="26"/>
      <c r="F114" s="50"/>
      <c r="G114" s="50"/>
      <c r="H114" s="50"/>
      <c r="I114" s="59"/>
      <c r="J114" s="231"/>
      <c r="K114" s="208">
        <v>1700</v>
      </c>
      <c r="L114" s="469">
        <v>2500</v>
      </c>
      <c r="M114" s="186">
        <f>(J114/6)*12</f>
        <v>0</v>
      </c>
      <c r="N114" s="174">
        <f t="shared" si="53"/>
        <v>-1700</v>
      </c>
      <c r="O114" s="241"/>
      <c r="P114" s="165">
        <f t="shared" si="54"/>
        <v>-1700</v>
      </c>
      <c r="Q114" s="78">
        <f t="shared" si="55"/>
        <v>0</v>
      </c>
    </row>
    <row r="115" spans="1:17" x14ac:dyDescent="0.25">
      <c r="A115" s="8" t="s">
        <v>171</v>
      </c>
      <c r="B115" s="9" t="s">
        <v>172</v>
      </c>
      <c r="C115" s="70"/>
      <c r="D115" s="26">
        <v>59</v>
      </c>
      <c r="E115" s="26"/>
      <c r="F115" s="50"/>
      <c r="G115" s="50"/>
      <c r="H115" s="50"/>
      <c r="I115" s="59"/>
      <c r="J115" s="231"/>
      <c r="K115" s="208">
        <v>200</v>
      </c>
      <c r="L115" s="469">
        <v>200</v>
      </c>
      <c r="M115" s="186">
        <f>(J115/6)*12</f>
        <v>0</v>
      </c>
      <c r="N115" s="174">
        <f t="shared" si="53"/>
        <v>-200</v>
      </c>
      <c r="O115" s="241"/>
      <c r="P115" s="165">
        <f t="shared" si="54"/>
        <v>-200</v>
      </c>
      <c r="Q115" s="78">
        <f t="shared" si="55"/>
        <v>0</v>
      </c>
    </row>
    <row r="116" spans="1:17" x14ac:dyDescent="0.25">
      <c r="A116" s="8">
        <v>617032</v>
      </c>
      <c r="B116" s="9" t="s">
        <v>173</v>
      </c>
      <c r="C116" s="70">
        <v>902.52</v>
      </c>
      <c r="D116" s="26">
        <v>1635.71</v>
      </c>
      <c r="E116" s="80">
        <v>1155.8599999999999</v>
      </c>
      <c r="F116" s="26">
        <v>620.09</v>
      </c>
      <c r="G116" s="26">
        <v>688.49</v>
      </c>
      <c r="H116" s="80">
        <v>606.39</v>
      </c>
      <c r="I116" s="138">
        <v>729.73</v>
      </c>
      <c r="J116" s="231">
        <f t="shared" si="42"/>
        <v>6338.7900000000009</v>
      </c>
      <c r="K116" s="208">
        <v>20000</v>
      </c>
      <c r="L116" s="469">
        <v>11000</v>
      </c>
      <c r="M116" s="186">
        <f>(J116/7)*12</f>
        <v>10866.497142857144</v>
      </c>
      <c r="N116" s="174">
        <f t="shared" si="53"/>
        <v>-9133.5028571428556</v>
      </c>
      <c r="O116" s="241">
        <f>+M116/K116</f>
        <v>0.54332485714285716</v>
      </c>
      <c r="P116" s="165">
        <f t="shared" si="54"/>
        <v>-13661.21</v>
      </c>
      <c r="Q116" s="78">
        <f t="shared" si="55"/>
        <v>0.31693950000000004</v>
      </c>
    </row>
    <row r="117" spans="1:17" x14ac:dyDescent="0.25">
      <c r="A117" s="8"/>
      <c r="B117" s="30" t="s">
        <v>174</v>
      </c>
      <c r="C117" s="70"/>
      <c r="D117" s="26"/>
      <c r="E117" s="26">
        <v>0</v>
      </c>
      <c r="F117" s="50"/>
      <c r="G117" s="50"/>
      <c r="H117" s="50"/>
      <c r="I117" s="139"/>
      <c r="J117" s="231"/>
      <c r="K117" s="203"/>
      <c r="L117" s="469">
        <v>0</v>
      </c>
      <c r="M117" s="186">
        <f>(J117/6)*12</f>
        <v>0</v>
      </c>
      <c r="N117" s="174">
        <f t="shared" si="53"/>
        <v>0</v>
      </c>
      <c r="O117" s="241"/>
      <c r="P117" s="165"/>
      <c r="Q117" s="78"/>
    </row>
    <row r="118" spans="1:17" x14ac:dyDescent="0.25">
      <c r="A118" s="8" t="s">
        <v>175</v>
      </c>
      <c r="B118" s="9" t="s">
        <v>176</v>
      </c>
      <c r="C118" s="70"/>
      <c r="D118" s="425">
        <v>1573</v>
      </c>
      <c r="E118" s="26">
        <v>56</v>
      </c>
      <c r="F118" s="26">
        <f>11.97+32</f>
        <v>43.97</v>
      </c>
      <c r="G118" s="26">
        <v>38.1</v>
      </c>
      <c r="H118" s="26">
        <v>38.1</v>
      </c>
      <c r="I118" s="138">
        <v>38</v>
      </c>
      <c r="J118" s="231">
        <f t="shared" si="42"/>
        <v>1787.1699999999998</v>
      </c>
      <c r="K118" s="203"/>
      <c r="L118" s="469">
        <v>2000</v>
      </c>
      <c r="M118" s="186">
        <f>(J118/7)*12</f>
        <v>3063.72</v>
      </c>
      <c r="N118" s="174">
        <f t="shared" si="53"/>
        <v>3063.72</v>
      </c>
      <c r="O118" s="241"/>
      <c r="P118" s="165">
        <f>J118-K118</f>
        <v>1787.1699999999998</v>
      </c>
      <c r="Q118" s="78" t="e">
        <f>J118/K118</f>
        <v>#DIV/0!</v>
      </c>
    </row>
    <row r="119" spans="1:17" x14ac:dyDescent="0.25">
      <c r="A119" s="14" t="s">
        <v>177</v>
      </c>
      <c r="B119" s="31" t="s">
        <v>178</v>
      </c>
      <c r="C119" s="72">
        <v>0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62">
        <v>0</v>
      </c>
      <c r="J119" s="231"/>
      <c r="K119" s="212">
        <v>0</v>
      </c>
      <c r="L119" s="519">
        <v>0</v>
      </c>
      <c r="M119" s="186">
        <f>(J119/6)*12</f>
        <v>0</v>
      </c>
      <c r="N119" s="174">
        <f t="shared" si="53"/>
        <v>0</v>
      </c>
      <c r="O119" s="241"/>
      <c r="P119" s="165"/>
      <c r="Q119" s="78"/>
    </row>
    <row r="120" spans="1:17" x14ac:dyDescent="0.25">
      <c r="A120" s="8" t="s">
        <v>179</v>
      </c>
      <c r="B120" s="9" t="s">
        <v>180</v>
      </c>
      <c r="C120" s="70">
        <v>0</v>
      </c>
      <c r="D120" s="26">
        <v>0</v>
      </c>
      <c r="E120" s="26">
        <v>0</v>
      </c>
      <c r="F120" s="50"/>
      <c r="G120" s="50"/>
      <c r="H120" s="50"/>
      <c r="I120" s="59"/>
      <c r="J120" s="231"/>
      <c r="K120" s="203">
        <v>0</v>
      </c>
      <c r="L120" s="469">
        <v>0</v>
      </c>
      <c r="M120" s="186">
        <f>(J120/6)*12</f>
        <v>0</v>
      </c>
      <c r="N120" s="174">
        <f t="shared" si="53"/>
        <v>0</v>
      </c>
      <c r="O120" s="241"/>
      <c r="P120" s="165"/>
      <c r="Q120" s="78"/>
    </row>
    <row r="121" spans="1:17" x14ac:dyDescent="0.25">
      <c r="A121" s="14" t="s">
        <v>181</v>
      </c>
      <c r="B121" s="31" t="s">
        <v>182</v>
      </c>
      <c r="C121" s="72">
        <f t="shared" ref="C121:G121" si="60">C122</f>
        <v>8286.86</v>
      </c>
      <c r="D121" s="72">
        <f t="shared" si="60"/>
        <v>8286.49</v>
      </c>
      <c r="E121" s="72">
        <f t="shared" si="60"/>
        <v>8237.43</v>
      </c>
      <c r="F121" s="72">
        <f t="shared" si="60"/>
        <v>8222.2199999999993</v>
      </c>
      <c r="G121" s="72">
        <f t="shared" si="60"/>
        <v>8181.44</v>
      </c>
      <c r="H121" s="23">
        <f t="shared" ref="H121:I121" si="61">+H122</f>
        <v>8181.31</v>
      </c>
      <c r="I121" s="62">
        <f t="shared" si="61"/>
        <v>8155.66</v>
      </c>
      <c r="J121" s="231">
        <f t="shared" si="42"/>
        <v>57551.41</v>
      </c>
      <c r="K121" s="211">
        <v>105000.45</v>
      </c>
      <c r="L121" s="519">
        <f>L122</f>
        <v>104071.6</v>
      </c>
      <c r="M121" s="173">
        <f t="shared" ref="M121:M129" si="62">(J121/7)*12</f>
        <v>98659.560000000012</v>
      </c>
      <c r="N121" s="174">
        <f t="shared" si="53"/>
        <v>-6340.8899999999849</v>
      </c>
      <c r="O121" s="241">
        <f t="shared" ref="O121:O126" si="63">+M121/K121</f>
        <v>0.93961083023929914</v>
      </c>
      <c r="P121" s="165">
        <f t="shared" ref="P121:P129" si="64">J121-K121</f>
        <v>-47449.039999999994</v>
      </c>
      <c r="Q121" s="78">
        <f t="shared" ref="Q121:Q129" si="65">J121/K121</f>
        <v>0.54810631763959117</v>
      </c>
    </row>
    <row r="122" spans="1:17" ht="15.75" thickBot="1" x14ac:dyDescent="0.3">
      <c r="A122" s="37" t="s">
        <v>183</v>
      </c>
      <c r="B122" s="38" t="s">
        <v>639</v>
      </c>
      <c r="C122" s="255">
        <v>8286.86</v>
      </c>
      <c r="D122" s="188">
        <v>8286.49</v>
      </c>
      <c r="E122" s="188">
        <v>8237.43</v>
      </c>
      <c r="F122" s="188">
        <v>8222.2199999999993</v>
      </c>
      <c r="G122" s="188">
        <v>8181.44</v>
      </c>
      <c r="H122" s="188">
        <v>8181.31</v>
      </c>
      <c r="I122" s="256">
        <v>8155.66</v>
      </c>
      <c r="J122" s="232">
        <f t="shared" si="42"/>
        <v>57551.41</v>
      </c>
      <c r="K122" s="257">
        <v>105000.45</v>
      </c>
      <c r="L122" s="518">
        <f>99000-(292.84*10)+8000</f>
        <v>104071.6</v>
      </c>
      <c r="M122" s="258">
        <f t="shared" si="62"/>
        <v>98659.560000000012</v>
      </c>
      <c r="N122" s="249">
        <f t="shared" si="53"/>
        <v>-6340.8899999999849</v>
      </c>
      <c r="O122" s="250">
        <f t="shared" si="63"/>
        <v>0.93961083023929914</v>
      </c>
      <c r="P122" s="165">
        <f t="shared" si="64"/>
        <v>-47449.039999999994</v>
      </c>
      <c r="Q122" s="78">
        <f t="shared" si="65"/>
        <v>0.54810631763959117</v>
      </c>
    </row>
    <row r="123" spans="1:17" ht="15.75" thickBot="1" x14ac:dyDescent="0.3">
      <c r="A123" s="287" t="s">
        <v>184</v>
      </c>
      <c r="B123" s="288" t="s">
        <v>185</v>
      </c>
      <c r="C123" s="265">
        <f>C124</f>
        <v>363.24</v>
      </c>
      <c r="D123" s="266">
        <f t="shared" ref="D123:G123" si="66">D124</f>
        <v>36.08</v>
      </c>
      <c r="E123" s="266">
        <f t="shared" si="66"/>
        <v>185.37</v>
      </c>
      <c r="F123" s="266">
        <f t="shared" si="66"/>
        <v>132.86000000000001</v>
      </c>
      <c r="G123" s="266">
        <f t="shared" si="66"/>
        <v>224.21999999999997</v>
      </c>
      <c r="H123" s="266">
        <f t="shared" ref="H123:I123" si="67">H124</f>
        <v>9</v>
      </c>
      <c r="I123" s="267">
        <f t="shared" si="67"/>
        <v>180.58</v>
      </c>
      <c r="J123" s="268">
        <f t="shared" si="42"/>
        <v>1131.3499999999999</v>
      </c>
      <c r="K123" s="289">
        <v>100</v>
      </c>
      <c r="L123" s="515">
        <f>L124</f>
        <v>22600</v>
      </c>
      <c r="M123" s="270">
        <f t="shared" si="62"/>
        <v>1939.4571428571428</v>
      </c>
      <c r="N123" s="270">
        <f t="shared" si="53"/>
        <v>1839.4571428571428</v>
      </c>
      <c r="O123" s="271">
        <f t="shared" si="63"/>
        <v>19.394571428571428</v>
      </c>
      <c r="P123" s="165">
        <f t="shared" si="64"/>
        <v>1031.3499999999999</v>
      </c>
      <c r="Q123" s="78">
        <f t="shared" si="65"/>
        <v>11.313499999999999</v>
      </c>
    </row>
    <row r="124" spans="1:17" ht="15.75" thickBot="1" x14ac:dyDescent="0.3">
      <c r="A124" s="290" t="s">
        <v>186</v>
      </c>
      <c r="B124" s="291" t="s">
        <v>638</v>
      </c>
      <c r="C124" s="292">
        <f>354.24+9</f>
        <v>363.24</v>
      </c>
      <c r="D124" s="293">
        <f>22.2+13.88</f>
        <v>36.08</v>
      </c>
      <c r="E124" s="293">
        <f>9+80.37+96</f>
        <v>185.37</v>
      </c>
      <c r="F124" s="294">
        <f>9+123.86</f>
        <v>132.86000000000001</v>
      </c>
      <c r="G124" s="293">
        <f>9+21.58+189+4.64</f>
        <v>224.21999999999997</v>
      </c>
      <c r="H124" s="294">
        <v>9</v>
      </c>
      <c r="I124" s="295">
        <f>9+1.75+169.83</f>
        <v>180.58</v>
      </c>
      <c r="J124" s="296">
        <f t="shared" si="42"/>
        <v>1131.3499999999999</v>
      </c>
      <c r="K124" s="297">
        <v>100</v>
      </c>
      <c r="L124" s="518">
        <v>22600</v>
      </c>
      <c r="M124" s="258">
        <f t="shared" si="62"/>
        <v>1939.4571428571428</v>
      </c>
      <c r="N124" s="191">
        <f t="shared" si="53"/>
        <v>1839.4571428571428</v>
      </c>
      <c r="O124" s="298">
        <f t="shared" si="63"/>
        <v>19.394571428571428</v>
      </c>
      <c r="P124" s="165">
        <f t="shared" si="64"/>
        <v>1031.3499999999999</v>
      </c>
      <c r="Q124" s="78">
        <f t="shared" si="65"/>
        <v>11.313499999999999</v>
      </c>
    </row>
    <row r="125" spans="1:17" ht="15.75" thickBot="1" x14ac:dyDescent="0.3">
      <c r="A125" s="263" t="s">
        <v>187</v>
      </c>
      <c r="B125" s="288" t="s">
        <v>188</v>
      </c>
      <c r="C125" s="265">
        <f t="shared" ref="C125:G125" si="68">C126+C127+C128+C129</f>
        <v>4407.6499999999996</v>
      </c>
      <c r="D125" s="265">
        <f t="shared" si="68"/>
        <v>712.23</v>
      </c>
      <c r="E125" s="265">
        <f t="shared" si="68"/>
        <v>10615.550000000001</v>
      </c>
      <c r="F125" s="265">
        <f t="shared" si="68"/>
        <v>22522.870000000003</v>
      </c>
      <c r="G125" s="265">
        <f t="shared" si="68"/>
        <v>4896.2700000000004</v>
      </c>
      <c r="H125" s="266">
        <f t="shared" ref="H125:I125" si="69">H126+H127+H128+H129</f>
        <v>705.56000000000006</v>
      </c>
      <c r="I125" s="267">
        <f t="shared" si="69"/>
        <v>6258.7000000000007</v>
      </c>
      <c r="J125" s="268">
        <f t="shared" si="42"/>
        <v>50118.83</v>
      </c>
      <c r="K125" s="289">
        <v>103427</v>
      </c>
      <c r="L125" s="515">
        <f>SUM(L126:L129)</f>
        <v>2800</v>
      </c>
      <c r="M125" s="270">
        <f t="shared" si="62"/>
        <v>85917.994285714289</v>
      </c>
      <c r="N125" s="270">
        <f t="shared" si="53"/>
        <v>-17509.005714285711</v>
      </c>
      <c r="O125" s="271">
        <f t="shared" si="63"/>
        <v>0.83071146108573479</v>
      </c>
      <c r="P125" s="165">
        <f t="shared" si="64"/>
        <v>-53308.17</v>
      </c>
      <c r="Q125" s="78">
        <f t="shared" si="65"/>
        <v>0.48458168563334525</v>
      </c>
    </row>
    <row r="126" spans="1:17" x14ac:dyDescent="0.25">
      <c r="A126" s="3" t="s">
        <v>189</v>
      </c>
      <c r="B126" s="387" t="s">
        <v>570</v>
      </c>
      <c r="C126" s="273">
        <v>97.69</v>
      </c>
      <c r="D126" s="5">
        <v>91.15</v>
      </c>
      <c r="E126" s="5">
        <v>88.43</v>
      </c>
      <c r="F126" s="5">
        <v>81.64</v>
      </c>
      <c r="G126" s="5">
        <v>77.06</v>
      </c>
      <c r="H126" s="5">
        <v>74.5</v>
      </c>
      <c r="I126" s="56">
        <v>67.16</v>
      </c>
      <c r="J126" s="230">
        <f t="shared" si="42"/>
        <v>577.63</v>
      </c>
      <c r="K126" s="299">
        <v>1627</v>
      </c>
      <c r="L126" s="469">
        <v>1000</v>
      </c>
      <c r="M126" s="186">
        <f t="shared" si="62"/>
        <v>990.22285714285726</v>
      </c>
      <c r="N126" s="173">
        <f t="shared" si="53"/>
        <v>-636.77714285714274</v>
      </c>
      <c r="O126" s="251">
        <f t="shared" si="63"/>
        <v>0.60861884274299771</v>
      </c>
      <c r="P126" s="165">
        <f t="shared" si="64"/>
        <v>-1049.3699999999999</v>
      </c>
      <c r="Q126" s="78">
        <f t="shared" si="65"/>
        <v>0.35502765826674859</v>
      </c>
    </row>
    <row r="127" spans="1:17" x14ac:dyDescent="0.25">
      <c r="A127" s="8" t="s">
        <v>190</v>
      </c>
      <c r="B127" s="9" t="s">
        <v>191</v>
      </c>
      <c r="C127" s="70"/>
      <c r="D127" s="26">
        <v>475.59</v>
      </c>
      <c r="E127" s="425">
        <v>10206</v>
      </c>
      <c r="F127" s="425">
        <v>22243.4</v>
      </c>
      <c r="G127" s="26">
        <v>0</v>
      </c>
      <c r="H127" s="26">
        <v>525.44000000000005</v>
      </c>
      <c r="I127" s="58">
        <v>6.02</v>
      </c>
      <c r="J127" s="231">
        <f t="shared" si="42"/>
        <v>33456.450000000004</v>
      </c>
      <c r="K127" s="203">
        <v>0</v>
      </c>
      <c r="L127" s="469">
        <v>0</v>
      </c>
      <c r="M127" s="186">
        <f t="shared" si="62"/>
        <v>57353.914285714302</v>
      </c>
      <c r="N127" s="174">
        <f t="shared" si="53"/>
        <v>57353.914285714302</v>
      </c>
      <c r="O127" s="241"/>
      <c r="P127" s="165">
        <f t="shared" si="64"/>
        <v>33456.450000000004</v>
      </c>
      <c r="Q127" s="78" t="e">
        <f t="shared" si="65"/>
        <v>#DIV/0!</v>
      </c>
    </row>
    <row r="128" spans="1:17" x14ac:dyDescent="0.25">
      <c r="A128" s="8" t="s">
        <v>192</v>
      </c>
      <c r="B128" s="9" t="s">
        <v>193</v>
      </c>
      <c r="C128" s="70">
        <v>195.51</v>
      </c>
      <c r="D128" s="26">
        <v>143.65</v>
      </c>
      <c r="E128" s="26">
        <v>207.44</v>
      </c>
      <c r="F128" s="26">
        <v>185.08</v>
      </c>
      <c r="G128" s="26">
        <v>154.07</v>
      </c>
      <c r="H128" s="26">
        <v>91.64</v>
      </c>
      <c r="I128" s="58">
        <v>181.25</v>
      </c>
      <c r="J128" s="231">
        <f t="shared" si="42"/>
        <v>1158.6399999999999</v>
      </c>
      <c r="K128" s="203">
        <v>1800</v>
      </c>
      <c r="L128" s="469">
        <v>1800</v>
      </c>
      <c r="M128" s="186">
        <f t="shared" si="62"/>
        <v>1986.2399999999998</v>
      </c>
      <c r="N128" s="174">
        <f t="shared" si="53"/>
        <v>186.23999999999978</v>
      </c>
      <c r="O128" s="241">
        <f>+M128/K128</f>
        <v>1.1034666666666666</v>
      </c>
      <c r="P128" s="165">
        <f t="shared" si="64"/>
        <v>-641.36000000000013</v>
      </c>
      <c r="Q128" s="78">
        <f t="shared" si="65"/>
        <v>0.64368888888888887</v>
      </c>
    </row>
    <row r="129" spans="1:17" x14ac:dyDescent="0.25">
      <c r="A129" s="8"/>
      <c r="B129" s="9" t="s">
        <v>559</v>
      </c>
      <c r="C129" s="13">
        <v>4114.45</v>
      </c>
      <c r="D129" s="26">
        <v>1.84</v>
      </c>
      <c r="E129" s="26">
        <v>113.68</v>
      </c>
      <c r="F129" s="26">
        <f>12.75</f>
        <v>12.75</v>
      </c>
      <c r="G129" s="26">
        <v>4665.1400000000003</v>
      </c>
      <c r="H129" s="26">
        <v>13.98</v>
      </c>
      <c r="I129" s="58">
        <v>6004.27</v>
      </c>
      <c r="J129" s="231">
        <f t="shared" si="42"/>
        <v>14926.11</v>
      </c>
      <c r="K129" s="203">
        <v>100000</v>
      </c>
      <c r="L129" s="469">
        <v>0</v>
      </c>
      <c r="M129" s="186">
        <f t="shared" si="62"/>
        <v>25587.61714285714</v>
      </c>
      <c r="N129" s="174">
        <f t="shared" si="53"/>
        <v>-74412.38285714286</v>
      </c>
      <c r="O129" s="241">
        <f>+M129/K129</f>
        <v>0.25587617142857139</v>
      </c>
      <c r="P129" s="165">
        <f t="shared" si="64"/>
        <v>-85073.89</v>
      </c>
      <c r="Q129" s="78">
        <f t="shared" si="65"/>
        <v>0.14926110000000001</v>
      </c>
    </row>
    <row r="130" spans="1:17" x14ac:dyDescent="0.25">
      <c r="A130" s="8" t="s">
        <v>194</v>
      </c>
      <c r="B130" s="10" t="s">
        <v>195</v>
      </c>
      <c r="C130" s="12">
        <v>0</v>
      </c>
      <c r="D130" s="12">
        <v>0</v>
      </c>
      <c r="E130" s="12">
        <v>0</v>
      </c>
      <c r="F130" s="50"/>
      <c r="G130" s="50"/>
      <c r="H130" s="50"/>
      <c r="I130" s="59"/>
      <c r="J130" s="231"/>
      <c r="K130" s="202"/>
      <c r="L130" s="468">
        <v>0</v>
      </c>
      <c r="M130" s="173"/>
      <c r="N130" s="174">
        <f t="shared" si="53"/>
        <v>0</v>
      </c>
      <c r="O130" s="241"/>
      <c r="P130" s="165"/>
      <c r="Q130" s="78"/>
    </row>
    <row r="131" spans="1:17" ht="15.75" thickBot="1" x14ac:dyDescent="0.3">
      <c r="A131" s="37" t="s">
        <v>196</v>
      </c>
      <c r="B131" s="38" t="s">
        <v>197</v>
      </c>
      <c r="C131" s="39">
        <v>0</v>
      </c>
      <c r="D131" s="188"/>
      <c r="E131" s="188">
        <v>0</v>
      </c>
      <c r="F131" s="189"/>
      <c r="G131" s="189"/>
      <c r="H131" s="189"/>
      <c r="I131" s="190"/>
      <c r="J131" s="232"/>
      <c r="K131" s="213"/>
      <c r="L131" s="518">
        <v>0</v>
      </c>
      <c r="M131" s="191"/>
      <c r="N131" s="245">
        <f t="shared" si="53"/>
        <v>0</v>
      </c>
      <c r="O131" s="247"/>
      <c r="P131" s="165"/>
      <c r="Q131" s="78"/>
    </row>
    <row r="132" spans="1:17" x14ac:dyDescent="0.25">
      <c r="A132" s="192"/>
      <c r="B132" s="193" t="s">
        <v>198</v>
      </c>
      <c r="C132" s="194">
        <f t="shared" ref="C132:G132" si="70">C7-C23</f>
        <v>19071.650000000023</v>
      </c>
      <c r="D132" s="194">
        <f t="shared" si="70"/>
        <v>-13205.309999999998</v>
      </c>
      <c r="E132" s="194">
        <f t="shared" si="70"/>
        <v>69749.509999999995</v>
      </c>
      <c r="F132" s="194">
        <f t="shared" si="70"/>
        <v>56562.000000000029</v>
      </c>
      <c r="G132" s="194">
        <f t="shared" si="70"/>
        <v>-12675.5</v>
      </c>
      <c r="H132" s="194">
        <f t="shared" ref="H132" si="71">H7-H23</f>
        <v>7183.2200000000012</v>
      </c>
      <c r="I132" s="198">
        <f>I7-I23</f>
        <v>-16796.239999999998</v>
      </c>
      <c r="J132" s="233">
        <f t="shared" si="42"/>
        <v>109889.33000000005</v>
      </c>
      <c r="K132" s="237">
        <f>+K7-K23</f>
        <v>-300086</v>
      </c>
      <c r="L132" s="524">
        <f>L7-L23-L133</f>
        <v>-257451.59999999998</v>
      </c>
      <c r="M132" s="239">
        <f>(J132/7)*12</f>
        <v>188381.70857142867</v>
      </c>
      <c r="N132" s="239">
        <f t="shared" si="53"/>
        <v>488467.70857142867</v>
      </c>
      <c r="O132" s="240">
        <f>+M132/K132</f>
        <v>-0.62775907097108385</v>
      </c>
      <c r="P132" s="165">
        <f>J132-K132</f>
        <v>409975.33000000007</v>
      </c>
      <c r="Q132" s="78">
        <f>J132/K132</f>
        <v>-0.36619279139979888</v>
      </c>
    </row>
    <row r="133" spans="1:17" x14ac:dyDescent="0.25">
      <c r="A133" s="8" t="s">
        <v>199</v>
      </c>
      <c r="B133" s="9" t="s">
        <v>200</v>
      </c>
      <c r="C133" s="12">
        <v>54380</v>
      </c>
      <c r="D133" s="12">
        <v>18600</v>
      </c>
      <c r="E133" s="26">
        <v>68689.55</v>
      </c>
      <c r="F133" s="26">
        <v>34480</v>
      </c>
      <c r="G133" s="26">
        <v>21650</v>
      </c>
      <c r="H133" s="26">
        <v>12340.45</v>
      </c>
      <c r="I133" s="58">
        <v>8670</v>
      </c>
      <c r="J133" s="459">
        <f t="shared" si="42"/>
        <v>218810</v>
      </c>
      <c r="K133" s="169">
        <v>240000</v>
      </c>
      <c r="L133" s="525">
        <v>215000</v>
      </c>
      <c r="M133" s="187">
        <v>215000</v>
      </c>
      <c r="N133" s="174">
        <f t="shared" si="53"/>
        <v>-25000</v>
      </c>
      <c r="O133" s="241">
        <f>+M133/K133</f>
        <v>0.89583333333333337</v>
      </c>
      <c r="P133" s="165">
        <f>J133-K133</f>
        <v>-21190</v>
      </c>
      <c r="Q133" s="78">
        <f>J133/K133</f>
        <v>0.91170833333333334</v>
      </c>
    </row>
    <row r="134" spans="1:17" x14ac:dyDescent="0.25">
      <c r="A134" s="34"/>
      <c r="B134" s="35" t="s">
        <v>201</v>
      </c>
      <c r="C134" s="36"/>
      <c r="D134" s="48"/>
      <c r="E134" s="48"/>
      <c r="F134" s="52"/>
      <c r="G134" s="52"/>
      <c r="H134" s="52"/>
      <c r="I134" s="63"/>
      <c r="J134" s="214">
        <f t="shared" si="42"/>
        <v>0</v>
      </c>
      <c r="K134" s="238"/>
      <c r="L134" s="525"/>
      <c r="M134" s="175">
        <f>(J134/5)*12</f>
        <v>0</v>
      </c>
      <c r="N134" s="175">
        <f t="shared" si="53"/>
        <v>0</v>
      </c>
      <c r="O134" s="242"/>
      <c r="P134" s="165">
        <f>J134-K134</f>
        <v>0</v>
      </c>
      <c r="Q134" s="78" t="e">
        <f>J134/K134</f>
        <v>#DIV/0!</v>
      </c>
    </row>
    <row r="135" spans="1:17" x14ac:dyDescent="0.25">
      <c r="A135" s="32"/>
      <c r="B135" s="33" t="s">
        <v>2</v>
      </c>
      <c r="C135" s="19">
        <f>C6</f>
        <v>19071.650000000023</v>
      </c>
      <c r="D135" s="19">
        <f t="shared" ref="D135:I135" si="72">D6</f>
        <v>-13205.309999999998</v>
      </c>
      <c r="E135" s="19">
        <f t="shared" si="72"/>
        <v>69749.509999999995</v>
      </c>
      <c r="F135" s="19">
        <f t="shared" si="72"/>
        <v>56562.000000000029</v>
      </c>
      <c r="G135" s="19">
        <f t="shared" si="72"/>
        <v>-12675.5</v>
      </c>
      <c r="H135" s="19">
        <f t="shared" si="72"/>
        <v>7183.2200000000012</v>
      </c>
      <c r="I135" s="61">
        <f t="shared" si="72"/>
        <v>-16796.239999999998</v>
      </c>
      <c r="J135" s="214">
        <f>SUM(C135:I135)</f>
        <v>109889.33000000005</v>
      </c>
      <c r="K135" s="171">
        <f>K132+K133</f>
        <v>-60086</v>
      </c>
      <c r="L135" s="526">
        <f>+L6</f>
        <v>-42451.599999999977</v>
      </c>
      <c r="M135" s="175">
        <f>(J135/6)*12</f>
        <v>219778.66000000009</v>
      </c>
      <c r="N135" s="175">
        <f t="shared" ref="N135" si="73">M135-K135</f>
        <v>279864.66000000009</v>
      </c>
      <c r="O135" s="242">
        <f>+M135/K135</f>
        <v>-3.6577349132909514</v>
      </c>
      <c r="P135" s="165">
        <f>J135-K135</f>
        <v>169975.33000000005</v>
      </c>
      <c r="Q135" s="78">
        <f>J135/K135</f>
        <v>-1.8288674566454757</v>
      </c>
    </row>
    <row r="136" spans="1:17" x14ac:dyDescent="0.25">
      <c r="A136" s="8"/>
      <c r="B136" s="9" t="s">
        <v>202</v>
      </c>
      <c r="C136" s="13">
        <v>0</v>
      </c>
      <c r="D136" s="26"/>
      <c r="E136" s="26">
        <v>0</v>
      </c>
      <c r="F136" s="50"/>
      <c r="G136" s="50"/>
      <c r="H136" s="50"/>
      <c r="I136" s="59"/>
      <c r="J136" s="231"/>
      <c r="K136" s="170"/>
      <c r="L136" s="527"/>
      <c r="M136" s="174"/>
      <c r="N136" s="174"/>
      <c r="O136" s="241"/>
      <c r="P136" s="165"/>
      <c r="Q136" s="78"/>
    </row>
    <row r="137" spans="1:17" x14ac:dyDescent="0.25">
      <c r="A137" s="8"/>
      <c r="B137" s="9" t="s">
        <v>203</v>
      </c>
      <c r="C137" s="13">
        <v>0</v>
      </c>
      <c r="D137" s="26"/>
      <c r="E137" s="26">
        <v>0</v>
      </c>
      <c r="F137" s="50"/>
      <c r="G137" s="50"/>
      <c r="H137" s="50"/>
      <c r="I137" s="59"/>
      <c r="J137" s="231"/>
      <c r="K137" s="170"/>
      <c r="L137" s="527"/>
      <c r="M137" s="174"/>
      <c r="N137" s="174"/>
      <c r="O137" s="241"/>
      <c r="P137" s="165"/>
      <c r="Q137" s="78"/>
    </row>
    <row r="138" spans="1:17" x14ac:dyDescent="0.25">
      <c r="A138" s="8"/>
      <c r="B138" s="9" t="s">
        <v>204</v>
      </c>
      <c r="C138" s="13">
        <v>0</v>
      </c>
      <c r="D138" s="26"/>
      <c r="E138" s="26">
        <v>0</v>
      </c>
      <c r="F138" s="50"/>
      <c r="G138" s="50"/>
      <c r="H138" s="50"/>
      <c r="I138" s="59"/>
      <c r="J138" s="231"/>
      <c r="K138" s="170"/>
      <c r="L138" s="527"/>
      <c r="M138" s="174"/>
      <c r="N138" s="174"/>
      <c r="O138" s="241"/>
      <c r="P138" s="165"/>
      <c r="Q138" s="78"/>
    </row>
    <row r="139" spans="1:17" x14ac:dyDescent="0.25">
      <c r="A139" s="8" t="s">
        <v>205</v>
      </c>
      <c r="B139" s="9" t="s">
        <v>206</v>
      </c>
      <c r="C139" s="13">
        <v>0</v>
      </c>
      <c r="D139" s="12"/>
      <c r="E139" s="12">
        <v>0</v>
      </c>
      <c r="F139" s="23"/>
      <c r="G139" s="23"/>
      <c r="H139" s="23"/>
      <c r="I139" s="62"/>
      <c r="J139" s="231"/>
      <c r="K139" s="170"/>
      <c r="L139" s="527"/>
      <c r="M139" s="174"/>
      <c r="N139" s="174"/>
      <c r="O139" s="241"/>
      <c r="P139" s="165"/>
      <c r="Q139" s="78"/>
    </row>
    <row r="140" spans="1:17" ht="15.75" thickBot="1" x14ac:dyDescent="0.3">
      <c r="A140" s="195"/>
      <c r="B140" s="196" t="s">
        <v>207</v>
      </c>
      <c r="C140" s="197">
        <f>C135</f>
        <v>19071.650000000023</v>
      </c>
      <c r="D140" s="197">
        <f>D135</f>
        <v>-13205.309999999998</v>
      </c>
      <c r="E140" s="197">
        <f t="shared" ref="E140:J140" si="74">E135</f>
        <v>69749.509999999995</v>
      </c>
      <c r="F140" s="197">
        <f t="shared" si="74"/>
        <v>56562.000000000029</v>
      </c>
      <c r="G140" s="197">
        <f t="shared" si="74"/>
        <v>-12675.5</v>
      </c>
      <c r="H140" s="197">
        <f t="shared" si="74"/>
        <v>7183.2200000000012</v>
      </c>
      <c r="I140" s="199">
        <f t="shared" si="74"/>
        <v>-16796.239999999998</v>
      </c>
      <c r="J140" s="215">
        <f t="shared" si="74"/>
        <v>109889.33000000005</v>
      </c>
      <c r="K140" s="215">
        <f>K135</f>
        <v>-60086</v>
      </c>
      <c r="L140" s="528">
        <f>+L135</f>
        <v>-42451.599999999977</v>
      </c>
      <c r="M140" s="176">
        <f>(J140/6)*12</f>
        <v>219778.66000000009</v>
      </c>
      <c r="N140" s="176">
        <f>M140-K140</f>
        <v>279864.66000000009</v>
      </c>
      <c r="O140" s="243">
        <f>+M140/K140</f>
        <v>-3.6577349132909514</v>
      </c>
      <c r="P140" s="167">
        <f t="shared" ref="P140" si="75">J140-K140</f>
        <v>169975.33000000005</v>
      </c>
      <c r="Q140" s="140">
        <f t="shared" ref="Q140" si="76">J140/K140</f>
        <v>-1.8288674566454757</v>
      </c>
    </row>
    <row r="141" spans="1:17" x14ac:dyDescent="0.25">
      <c r="A141" s="40"/>
      <c r="B141" s="41"/>
      <c r="C141" s="42"/>
      <c r="D141" s="42"/>
      <c r="E141" s="42"/>
      <c r="F141" s="42"/>
      <c r="G141" s="42"/>
      <c r="H141" s="42"/>
      <c r="I141" s="42"/>
      <c r="J141" s="64"/>
      <c r="K141" s="42"/>
      <c r="L141" s="141"/>
      <c r="M141" s="42"/>
      <c r="N141" s="42"/>
      <c r="O141" s="141"/>
      <c r="P141" s="76"/>
      <c r="Q141" s="76"/>
    </row>
    <row r="142" spans="1:17" x14ac:dyDescent="0.25">
      <c r="A142" s="40"/>
      <c r="B142" s="41"/>
      <c r="C142" s="42"/>
      <c r="D142" s="42"/>
      <c r="E142" s="42"/>
      <c r="F142" s="42"/>
      <c r="G142" s="42"/>
      <c r="H142" s="42"/>
      <c r="I142" s="42"/>
      <c r="J142" s="64"/>
      <c r="K142" s="42"/>
      <c r="L142" s="141"/>
      <c r="M142" s="42"/>
      <c r="N142" s="42"/>
      <c r="O142" s="42"/>
      <c r="P142" s="76"/>
      <c r="Q142" s="76"/>
    </row>
    <row r="143" spans="1:17" x14ac:dyDescent="0.25">
      <c r="A143"/>
      <c r="B143"/>
      <c r="C143"/>
      <c r="D143"/>
      <c r="E143"/>
      <c r="F143"/>
      <c r="G143" s="54"/>
      <c r="H143" s="54"/>
      <c r="I143" s="54"/>
      <c r="J143" s="65"/>
      <c r="K143" s="54"/>
      <c r="L143" s="529"/>
      <c r="M143" s="54"/>
      <c r="N143" s="54"/>
      <c r="O143" s="54"/>
      <c r="P143" s="76"/>
      <c r="Q143" s="76"/>
    </row>
    <row r="144" spans="1:17" x14ac:dyDescent="0.25">
      <c r="A144"/>
      <c r="B144"/>
      <c r="C144"/>
      <c r="D144"/>
      <c r="E144"/>
      <c r="F144" s="53"/>
      <c r="G144" s="53"/>
      <c r="H144" s="53"/>
      <c r="I144" s="53"/>
      <c r="J144" s="66"/>
      <c r="K144" s="53"/>
      <c r="L144" s="530"/>
      <c r="M144" s="53"/>
      <c r="N144" s="53"/>
      <c r="O144" s="53"/>
      <c r="P144" s="76"/>
      <c r="Q144" s="76"/>
    </row>
    <row r="145" spans="1:17" x14ac:dyDescent="0.25">
      <c r="A145"/>
      <c r="B145"/>
      <c r="C145"/>
      <c r="D145"/>
      <c r="E145"/>
      <c r="F145" s="53"/>
      <c r="G145" s="53"/>
      <c r="H145" s="53"/>
      <c r="I145" s="53"/>
      <c r="J145" s="66"/>
      <c r="K145" s="53"/>
      <c r="L145" s="530"/>
      <c r="M145" s="53"/>
      <c r="N145" s="53"/>
      <c r="O145" s="53"/>
      <c r="P145" s="76"/>
      <c r="Q145" s="76"/>
    </row>
    <row r="146" spans="1:17" x14ac:dyDescent="0.25">
      <c r="A146"/>
      <c r="B146"/>
      <c r="C146"/>
      <c r="D146"/>
      <c r="E146"/>
      <c r="F146" s="53"/>
      <c r="G146" s="53"/>
      <c r="H146" s="53"/>
      <c r="I146" s="53"/>
      <c r="J146" s="66"/>
      <c r="P146" s="76"/>
      <c r="Q146" s="76"/>
    </row>
    <row r="147" spans="1:17" x14ac:dyDescent="0.25">
      <c r="A147" s="43"/>
      <c r="B147" s="44"/>
      <c r="D147" s="49"/>
      <c r="E147" s="49"/>
      <c r="J147" s="67"/>
      <c r="P147" s="76"/>
      <c r="Q147" s="76"/>
    </row>
    <row r="148" spans="1:17" x14ac:dyDescent="0.25">
      <c r="A148" s="43"/>
      <c r="B148" s="44"/>
      <c r="D148" s="49"/>
      <c r="E148" s="49"/>
      <c r="J148" s="67"/>
      <c r="P148" s="76"/>
      <c r="Q148" s="76"/>
    </row>
    <row r="149" spans="1:17" x14ac:dyDescent="0.25">
      <c r="A149" s="43"/>
      <c r="B149" s="44"/>
      <c r="D149" s="49"/>
      <c r="E149" s="49"/>
      <c r="J149" s="67"/>
      <c r="P149" s="76"/>
      <c r="Q149" s="76"/>
    </row>
    <row r="150" spans="1:17" x14ac:dyDescent="0.25">
      <c r="A150" s="43"/>
      <c r="B150" s="44"/>
      <c r="D150" s="49"/>
      <c r="E150" s="49"/>
      <c r="J150" s="67"/>
      <c r="P150" s="76"/>
      <c r="Q150" s="76"/>
    </row>
    <row r="151" spans="1:17" x14ac:dyDescent="0.25">
      <c r="A151" s="43"/>
      <c r="B151" s="44"/>
      <c r="D151" s="49"/>
      <c r="E151" s="49"/>
      <c r="J151" s="67"/>
      <c r="P151" s="76"/>
      <c r="Q151" s="76"/>
    </row>
    <row r="152" spans="1:17" x14ac:dyDescent="0.25">
      <c r="A152" s="43"/>
      <c r="B152" s="44"/>
      <c r="D152" s="49"/>
      <c r="E152" s="49"/>
      <c r="J152" s="67"/>
      <c r="P152" s="76"/>
      <c r="Q152" s="76"/>
    </row>
    <row r="153" spans="1:17" x14ac:dyDescent="0.25">
      <c r="A153" s="43"/>
      <c r="B153" s="44"/>
      <c r="D153" s="49"/>
      <c r="E153" s="49"/>
      <c r="J153" s="67"/>
      <c r="P153" s="76"/>
      <c r="Q153" s="76"/>
    </row>
    <row r="154" spans="1:17" x14ac:dyDescent="0.25">
      <c r="A154" s="43"/>
      <c r="B154" s="44"/>
      <c r="D154" s="49"/>
      <c r="E154" s="49"/>
      <c r="J154" s="67"/>
      <c r="P154" s="76"/>
      <c r="Q154" s="76"/>
    </row>
    <row r="155" spans="1:17" x14ac:dyDescent="0.25">
      <c r="A155" s="43"/>
      <c r="B155" s="44"/>
      <c r="D155" s="49"/>
      <c r="E155" s="49"/>
      <c r="J155" s="67"/>
      <c r="P155" s="76"/>
      <c r="Q155" s="76"/>
    </row>
    <row r="156" spans="1:17" x14ac:dyDescent="0.25">
      <c r="A156" s="43"/>
      <c r="B156" s="44"/>
      <c r="D156" s="49"/>
      <c r="E156" s="49"/>
      <c r="J156" s="67"/>
      <c r="P156" s="76"/>
      <c r="Q156" s="76"/>
    </row>
    <row r="157" spans="1:17" x14ac:dyDescent="0.25">
      <c r="A157" s="43"/>
      <c r="B157" s="44"/>
      <c r="D157" s="49"/>
      <c r="E157" s="49"/>
      <c r="J157" s="67"/>
      <c r="P157" s="76"/>
      <c r="Q157" s="76"/>
    </row>
    <row r="158" spans="1:17" x14ac:dyDescent="0.25">
      <c r="A158" s="43"/>
      <c r="B158" s="44"/>
      <c r="D158" s="49"/>
      <c r="E158" s="49"/>
      <c r="J158" s="67"/>
      <c r="P158" s="76"/>
      <c r="Q158" s="76"/>
    </row>
    <row r="159" spans="1:17" x14ac:dyDescent="0.25">
      <c r="A159" s="43"/>
      <c r="B159" s="44"/>
      <c r="D159" s="49"/>
      <c r="E159" s="49"/>
      <c r="J159" s="67"/>
      <c r="P159" s="76"/>
      <c r="Q159" s="76"/>
    </row>
    <row r="160" spans="1:17" x14ac:dyDescent="0.25">
      <c r="A160" s="43"/>
      <c r="B160" s="44"/>
      <c r="D160" s="49"/>
      <c r="E160" s="49"/>
      <c r="J160" s="67"/>
      <c r="P160" s="76"/>
      <c r="Q160" s="76"/>
    </row>
    <row r="161" spans="1:17" x14ac:dyDescent="0.25">
      <c r="A161" s="43"/>
      <c r="B161" s="44"/>
      <c r="D161" s="49"/>
      <c r="E161" s="49"/>
      <c r="J161" s="67"/>
      <c r="P161" s="76"/>
      <c r="Q161" s="76"/>
    </row>
    <row r="162" spans="1:17" x14ac:dyDescent="0.25">
      <c r="A162" s="43"/>
      <c r="B162" s="44"/>
      <c r="D162" s="49"/>
      <c r="E162" s="49"/>
      <c r="J162" s="67"/>
      <c r="P162" s="76"/>
      <c r="Q162" s="76"/>
    </row>
    <row r="163" spans="1:17" x14ac:dyDescent="0.25">
      <c r="A163" s="43"/>
      <c r="B163" s="44"/>
      <c r="D163" s="49"/>
      <c r="E163" s="49"/>
      <c r="J163" s="67"/>
      <c r="P163" s="76"/>
      <c r="Q163" s="76"/>
    </row>
    <row r="164" spans="1:17" x14ac:dyDescent="0.25">
      <c r="A164" s="43"/>
      <c r="B164" s="44"/>
      <c r="D164" s="49"/>
      <c r="E164" s="49"/>
      <c r="J164" s="67"/>
      <c r="P164" s="76"/>
      <c r="Q164" s="76"/>
    </row>
    <row r="165" spans="1:17" x14ac:dyDescent="0.25">
      <c r="A165" s="43"/>
      <c r="B165" s="44"/>
      <c r="D165" s="49"/>
      <c r="E165" s="49"/>
      <c r="J165" s="67"/>
      <c r="P165" s="76"/>
      <c r="Q165" s="76"/>
    </row>
    <row r="166" spans="1:17" x14ac:dyDescent="0.25">
      <c r="A166" s="43"/>
      <c r="B166" s="44"/>
      <c r="D166" s="49"/>
      <c r="E166" s="49"/>
      <c r="J166" s="67"/>
      <c r="P166" s="76"/>
      <c r="Q166" s="76"/>
    </row>
    <row r="167" spans="1:17" x14ac:dyDescent="0.25">
      <c r="A167" s="43"/>
      <c r="B167" s="44"/>
      <c r="D167" s="49"/>
      <c r="E167" s="49"/>
      <c r="J167" s="67"/>
      <c r="P167" s="76"/>
      <c r="Q167" s="76"/>
    </row>
    <row r="168" spans="1:17" x14ac:dyDescent="0.25">
      <c r="A168" s="43"/>
      <c r="B168" s="44"/>
      <c r="D168" s="49"/>
      <c r="E168" s="49"/>
      <c r="J168" s="67"/>
      <c r="P168" s="76"/>
      <c r="Q168" s="76"/>
    </row>
    <row r="169" spans="1:17" x14ac:dyDescent="0.25">
      <c r="A169" s="43"/>
      <c r="B169" s="44"/>
      <c r="D169" s="49"/>
      <c r="E169" s="49"/>
      <c r="J169" s="67"/>
      <c r="P169" s="76"/>
      <c r="Q169" s="76"/>
    </row>
    <row r="170" spans="1:17" x14ac:dyDescent="0.25">
      <c r="A170" s="43"/>
      <c r="B170" s="44"/>
      <c r="D170" s="49"/>
      <c r="E170" s="49"/>
      <c r="J170" s="67"/>
      <c r="P170" s="76"/>
      <c r="Q170" s="76"/>
    </row>
    <row r="171" spans="1:17" x14ac:dyDescent="0.25">
      <c r="A171" s="43"/>
      <c r="B171" s="44"/>
      <c r="D171" s="49"/>
      <c r="E171" s="49"/>
      <c r="J171" s="67"/>
      <c r="P171" s="76"/>
      <c r="Q171" s="76"/>
    </row>
    <row r="172" spans="1:17" x14ac:dyDescent="0.25">
      <c r="A172" s="43"/>
      <c r="B172" s="44"/>
      <c r="D172" s="49"/>
      <c r="E172" s="49"/>
      <c r="J172" s="67"/>
      <c r="P172" s="76"/>
      <c r="Q172" s="76"/>
    </row>
    <row r="173" spans="1:17" x14ac:dyDescent="0.25">
      <c r="A173" s="43"/>
      <c r="B173" s="44"/>
      <c r="D173" s="49"/>
      <c r="E173" s="49"/>
      <c r="J173" s="67"/>
      <c r="P173" s="76"/>
      <c r="Q173" s="76"/>
    </row>
    <row r="174" spans="1:17" x14ac:dyDescent="0.25">
      <c r="A174" s="43"/>
      <c r="B174" s="44"/>
      <c r="D174" s="49"/>
      <c r="E174" s="49"/>
      <c r="J174" s="67"/>
      <c r="P174" s="76"/>
      <c r="Q174" s="76"/>
    </row>
    <row r="175" spans="1:17" x14ac:dyDescent="0.25">
      <c r="A175" s="43"/>
      <c r="B175" s="44"/>
      <c r="D175" s="49"/>
      <c r="E175" s="49"/>
      <c r="J175" s="67"/>
      <c r="P175" s="76"/>
      <c r="Q175" s="76"/>
    </row>
    <row r="176" spans="1:17" x14ac:dyDescent="0.25">
      <c r="A176" s="43"/>
      <c r="B176" s="44"/>
      <c r="D176" s="49"/>
      <c r="E176" s="49"/>
      <c r="J176" s="67"/>
      <c r="P176" s="76"/>
      <c r="Q176" s="76"/>
    </row>
    <row r="177" spans="1:17" x14ac:dyDescent="0.25">
      <c r="A177" s="43"/>
      <c r="B177" s="44"/>
      <c r="D177" s="49"/>
      <c r="E177" s="49"/>
      <c r="J177" s="67"/>
      <c r="P177" s="76"/>
      <c r="Q177" s="76"/>
    </row>
    <row r="178" spans="1:17" x14ac:dyDescent="0.25">
      <c r="A178" s="43"/>
      <c r="B178" s="44"/>
      <c r="D178" s="49"/>
      <c r="E178" s="49"/>
      <c r="J178" s="67"/>
      <c r="P178" s="76"/>
      <c r="Q178" s="76"/>
    </row>
    <row r="179" spans="1:17" x14ac:dyDescent="0.25">
      <c r="A179" s="43"/>
      <c r="B179" s="44"/>
      <c r="D179" s="49"/>
      <c r="E179" s="49"/>
      <c r="J179" s="67"/>
      <c r="P179" s="76"/>
      <c r="Q179" s="76"/>
    </row>
    <row r="180" spans="1:17" x14ac:dyDescent="0.25">
      <c r="A180" s="43"/>
      <c r="B180" s="44"/>
      <c r="D180" s="49"/>
      <c r="E180" s="49"/>
      <c r="J180" s="67"/>
      <c r="P180" s="76"/>
      <c r="Q180" s="76"/>
    </row>
    <row r="181" spans="1:17" x14ac:dyDescent="0.25">
      <c r="A181" s="43"/>
      <c r="B181" s="44"/>
      <c r="D181" s="49"/>
      <c r="E181" s="49"/>
      <c r="J181" s="67"/>
      <c r="P181" s="76"/>
      <c r="Q181" s="76"/>
    </row>
    <row r="182" spans="1:17" x14ac:dyDescent="0.25">
      <c r="A182" s="43"/>
      <c r="B182" s="44"/>
      <c r="D182" s="49"/>
      <c r="E182" s="49"/>
      <c r="J182" s="67"/>
      <c r="P182" s="76"/>
      <c r="Q182" s="76"/>
    </row>
    <row r="183" spans="1:17" x14ac:dyDescent="0.25">
      <c r="A183" s="43"/>
      <c r="B183" s="44"/>
      <c r="D183" s="49"/>
      <c r="E183" s="49"/>
      <c r="J183" s="67"/>
      <c r="P183" s="76"/>
      <c r="Q183" s="76"/>
    </row>
    <row r="184" spans="1:17" x14ac:dyDescent="0.25">
      <c r="A184" s="43"/>
      <c r="B184" s="44"/>
      <c r="D184" s="49"/>
      <c r="E184" s="49"/>
      <c r="J184" s="67"/>
      <c r="P184" s="76"/>
      <c r="Q184" s="76"/>
    </row>
    <row r="185" spans="1:17" x14ac:dyDescent="0.25">
      <c r="A185" s="43"/>
      <c r="B185" s="44"/>
      <c r="D185" s="49"/>
      <c r="E185" s="49"/>
      <c r="J185" s="67"/>
      <c r="P185" s="76"/>
      <c r="Q185" s="76"/>
    </row>
    <row r="186" spans="1:17" x14ac:dyDescent="0.25">
      <c r="A186" s="43"/>
      <c r="B186" s="44"/>
      <c r="D186" s="49"/>
      <c r="E186" s="49"/>
      <c r="J186" s="67"/>
      <c r="P186" s="76"/>
      <c r="Q186" s="76"/>
    </row>
    <row r="187" spans="1:17" x14ac:dyDescent="0.25">
      <c r="A187" s="43"/>
      <c r="B187" s="44"/>
      <c r="D187" s="49"/>
      <c r="E187" s="49"/>
      <c r="J187" s="67"/>
      <c r="P187" s="76"/>
      <c r="Q187" s="76"/>
    </row>
    <row r="188" spans="1:17" x14ac:dyDescent="0.25">
      <c r="A188" s="43"/>
      <c r="B188" s="44"/>
      <c r="D188" s="49"/>
      <c r="E188" s="49"/>
      <c r="J188" s="67"/>
      <c r="P188" s="76"/>
      <c r="Q188" s="76"/>
    </row>
    <row r="189" spans="1:17" x14ac:dyDescent="0.25">
      <c r="A189" s="43"/>
      <c r="B189" s="44"/>
      <c r="D189" s="49"/>
      <c r="E189" s="49"/>
      <c r="J189" s="67"/>
      <c r="P189" s="76"/>
      <c r="Q189" s="76"/>
    </row>
    <row r="190" spans="1:17" x14ac:dyDescent="0.25">
      <c r="A190" s="43"/>
      <c r="B190" s="44"/>
      <c r="D190" s="49"/>
      <c r="E190" s="49"/>
      <c r="J190" s="67"/>
      <c r="P190" s="76"/>
      <c r="Q190" s="76"/>
    </row>
    <row r="191" spans="1:17" x14ac:dyDescent="0.25">
      <c r="A191" s="43"/>
      <c r="B191" s="44"/>
      <c r="D191" s="49"/>
      <c r="E191" s="49"/>
      <c r="J191" s="67"/>
      <c r="P191" s="76"/>
      <c r="Q191" s="76"/>
    </row>
    <row r="192" spans="1:17" x14ac:dyDescent="0.25">
      <c r="A192" s="43"/>
      <c r="B192" s="44"/>
      <c r="D192" s="49"/>
      <c r="E192" s="49"/>
      <c r="J192" s="67"/>
      <c r="P192" s="76"/>
      <c r="Q192" s="76"/>
    </row>
    <row r="193" spans="1:17" x14ac:dyDescent="0.25">
      <c r="A193" s="43"/>
      <c r="B193" s="44"/>
      <c r="D193" s="49"/>
      <c r="E193" s="49"/>
      <c r="J193" s="67"/>
      <c r="P193" s="76"/>
      <c r="Q193" s="76"/>
    </row>
    <row r="194" spans="1:17" x14ac:dyDescent="0.25">
      <c r="A194" s="43"/>
      <c r="B194" s="44"/>
      <c r="D194" s="49"/>
      <c r="E194" s="49"/>
      <c r="J194" s="67"/>
      <c r="P194" s="76"/>
      <c r="Q194" s="76"/>
    </row>
    <row r="195" spans="1:17" x14ac:dyDescent="0.25">
      <c r="A195" s="43"/>
      <c r="B195" s="44"/>
      <c r="D195" s="49"/>
      <c r="E195" s="49"/>
      <c r="J195" s="67"/>
      <c r="P195" s="76"/>
      <c r="Q195" s="76"/>
    </row>
    <row r="196" spans="1:17" x14ac:dyDescent="0.25">
      <c r="A196" s="43"/>
      <c r="B196" s="44"/>
      <c r="D196" s="49"/>
      <c r="E196" s="49"/>
      <c r="J196" s="67"/>
      <c r="P196" s="76"/>
      <c r="Q196" s="76"/>
    </row>
    <row r="197" spans="1:17" x14ac:dyDescent="0.25">
      <c r="A197" s="43"/>
      <c r="B197" s="44"/>
      <c r="D197" s="49"/>
      <c r="E197" s="49"/>
      <c r="J197" s="67"/>
      <c r="P197" s="76"/>
      <c r="Q197" s="76"/>
    </row>
    <row r="198" spans="1:17" x14ac:dyDescent="0.25">
      <c r="A198" s="43"/>
      <c r="B198" s="44"/>
      <c r="D198" s="49"/>
      <c r="E198" s="49"/>
      <c r="J198" s="67"/>
      <c r="P198" s="76"/>
      <c r="Q198" s="76"/>
    </row>
    <row r="199" spans="1:17" x14ac:dyDescent="0.25">
      <c r="A199" s="43"/>
      <c r="B199" s="44"/>
      <c r="D199" s="49"/>
      <c r="E199" s="49"/>
      <c r="J199" s="67"/>
      <c r="P199" s="76"/>
      <c r="Q199" s="76"/>
    </row>
    <row r="200" spans="1:17" x14ac:dyDescent="0.25">
      <c r="A200" s="43"/>
      <c r="B200" s="44"/>
      <c r="D200" s="49"/>
      <c r="E200" s="49"/>
      <c r="J200" s="67"/>
      <c r="P200" s="76"/>
      <c r="Q200" s="76"/>
    </row>
    <row r="201" spans="1:17" x14ac:dyDescent="0.25">
      <c r="A201" s="43"/>
      <c r="B201" s="44"/>
      <c r="D201" s="49"/>
      <c r="E201" s="49"/>
      <c r="J201" s="67"/>
      <c r="P201" s="76"/>
      <c r="Q201" s="76"/>
    </row>
    <row r="202" spans="1:17" x14ac:dyDescent="0.25">
      <c r="A202" s="43"/>
      <c r="B202" s="44"/>
      <c r="D202" s="49"/>
      <c r="E202" s="49"/>
      <c r="J202" s="67"/>
      <c r="P202" s="76"/>
      <c r="Q202" s="76"/>
    </row>
    <row r="203" spans="1:17" x14ac:dyDescent="0.25">
      <c r="A203" s="43"/>
      <c r="B203" s="44"/>
      <c r="D203" s="49"/>
      <c r="E203" s="49"/>
      <c r="J203" s="67"/>
      <c r="P203" s="76"/>
      <c r="Q203" s="76"/>
    </row>
    <row r="204" spans="1:17" x14ac:dyDescent="0.25">
      <c r="A204" s="43"/>
      <c r="B204" s="44"/>
      <c r="D204" s="49"/>
      <c r="E204" s="49"/>
      <c r="J204" s="67"/>
      <c r="P204" s="76"/>
      <c r="Q204" s="76"/>
    </row>
    <row r="205" spans="1:17" x14ac:dyDescent="0.25">
      <c r="A205" s="43"/>
      <c r="B205" s="44"/>
      <c r="D205" s="49"/>
      <c r="E205" s="49"/>
      <c r="J205" s="67"/>
      <c r="P205" s="76"/>
      <c r="Q205" s="76"/>
    </row>
    <row r="206" spans="1:17" x14ac:dyDescent="0.25">
      <c r="A206" s="43"/>
      <c r="B206" s="44"/>
      <c r="D206" s="49"/>
      <c r="E206" s="49"/>
      <c r="J206" s="67"/>
      <c r="P206" s="76"/>
      <c r="Q206" s="76"/>
    </row>
    <row r="207" spans="1:17" x14ac:dyDescent="0.25">
      <c r="A207" s="43"/>
      <c r="B207" s="44"/>
      <c r="D207" s="49"/>
      <c r="E207" s="49"/>
      <c r="J207" s="67"/>
      <c r="P207" s="76"/>
      <c r="Q207" s="76"/>
    </row>
    <row r="208" spans="1:17" x14ac:dyDescent="0.25">
      <c r="A208" s="43"/>
      <c r="B208" s="44"/>
      <c r="D208" s="49"/>
      <c r="E208" s="49"/>
      <c r="J208" s="67"/>
      <c r="P208" s="76"/>
      <c r="Q208" s="76"/>
    </row>
    <row r="209" spans="1:17" x14ac:dyDescent="0.25">
      <c r="A209" s="43"/>
      <c r="B209" s="44"/>
      <c r="D209" s="49"/>
      <c r="E209" s="49"/>
      <c r="J209" s="67"/>
      <c r="P209" s="76"/>
      <c r="Q209" s="76"/>
    </row>
    <row r="210" spans="1:17" x14ac:dyDescent="0.25">
      <c r="A210" s="43"/>
      <c r="B210" s="44"/>
      <c r="D210" s="49"/>
      <c r="E210" s="49"/>
      <c r="J210" s="67"/>
      <c r="P210" s="76"/>
      <c r="Q210" s="76"/>
    </row>
    <row r="211" spans="1:17" x14ac:dyDescent="0.25">
      <c r="A211" s="43"/>
      <c r="B211" s="44"/>
      <c r="D211" s="49"/>
      <c r="E211" s="49"/>
      <c r="J211" s="67"/>
      <c r="P211" s="76"/>
      <c r="Q211" s="76"/>
    </row>
    <row r="212" spans="1:17" x14ac:dyDescent="0.25">
      <c r="A212" s="43"/>
      <c r="B212" s="44"/>
      <c r="D212" s="49"/>
      <c r="E212" s="49"/>
      <c r="J212" s="67"/>
      <c r="P212" s="76"/>
      <c r="Q212" s="76"/>
    </row>
    <row r="213" spans="1:17" x14ac:dyDescent="0.25">
      <c r="A213" s="43"/>
      <c r="B213" s="44"/>
      <c r="D213" s="49"/>
      <c r="E213" s="49"/>
      <c r="J213" s="67"/>
      <c r="P213" s="76"/>
      <c r="Q213" s="76"/>
    </row>
    <row r="214" spans="1:17" x14ac:dyDescent="0.25">
      <c r="A214" s="43"/>
      <c r="B214" s="44"/>
      <c r="D214" s="49"/>
      <c r="E214" s="49"/>
      <c r="J214" s="67"/>
      <c r="P214" s="76"/>
      <c r="Q214" s="76"/>
    </row>
    <row r="215" spans="1:17" x14ac:dyDescent="0.25">
      <c r="A215" s="43"/>
      <c r="B215" s="44"/>
      <c r="D215" s="49"/>
      <c r="E215" s="49"/>
      <c r="J215" s="67"/>
      <c r="P215" s="76"/>
      <c r="Q215" s="76"/>
    </row>
    <row r="216" spans="1:17" x14ac:dyDescent="0.25">
      <c r="A216" s="43"/>
      <c r="B216" s="44"/>
      <c r="D216" s="49"/>
      <c r="E216" s="49"/>
      <c r="J216" s="67"/>
      <c r="P216" s="76"/>
      <c r="Q216" s="76"/>
    </row>
    <row r="217" spans="1:17" x14ac:dyDescent="0.25">
      <c r="A217" s="43"/>
      <c r="B217" s="44"/>
      <c r="D217" s="49"/>
      <c r="E217" s="49"/>
      <c r="J217" s="67"/>
      <c r="P217" s="76"/>
      <c r="Q217" s="76"/>
    </row>
    <row r="218" spans="1:17" x14ac:dyDescent="0.25">
      <c r="A218" s="43"/>
      <c r="B218" s="44"/>
      <c r="D218" s="49"/>
      <c r="E218" s="49"/>
      <c r="J218" s="67"/>
      <c r="P218" s="76"/>
      <c r="Q218" s="76"/>
    </row>
    <row r="219" spans="1:17" x14ac:dyDescent="0.25">
      <c r="A219" s="43"/>
      <c r="B219" s="44"/>
      <c r="D219" s="49"/>
      <c r="E219" s="49"/>
      <c r="J219" s="67"/>
      <c r="P219" s="76"/>
      <c r="Q219" s="76"/>
    </row>
    <row r="220" spans="1:17" x14ac:dyDescent="0.25">
      <c r="A220" s="43"/>
      <c r="B220" s="44"/>
      <c r="D220" s="49"/>
      <c r="E220" s="49"/>
      <c r="J220" s="67"/>
      <c r="P220" s="76"/>
      <c r="Q220" s="76"/>
    </row>
    <row r="221" spans="1:17" x14ac:dyDescent="0.25">
      <c r="A221" s="43"/>
      <c r="B221" s="44"/>
      <c r="D221" s="49"/>
      <c r="E221" s="49"/>
      <c r="J221" s="67"/>
      <c r="P221" s="76"/>
      <c r="Q221" s="76"/>
    </row>
    <row r="222" spans="1:17" x14ac:dyDescent="0.25">
      <c r="A222" s="43"/>
      <c r="B222" s="44"/>
      <c r="D222" s="49"/>
      <c r="E222" s="49"/>
      <c r="J222" s="67"/>
      <c r="P222" s="76"/>
      <c r="Q222" s="76"/>
    </row>
    <row r="223" spans="1:17" x14ac:dyDescent="0.25">
      <c r="A223" s="43"/>
      <c r="B223" s="44"/>
      <c r="D223" s="49"/>
      <c r="E223" s="49"/>
      <c r="J223" s="67"/>
      <c r="P223" s="76"/>
      <c r="Q223" s="76"/>
    </row>
    <row r="224" spans="1:17" x14ac:dyDescent="0.25">
      <c r="A224" s="43"/>
      <c r="B224" s="44"/>
      <c r="D224" s="49"/>
      <c r="E224" s="49"/>
      <c r="J224" s="67"/>
      <c r="P224" s="76"/>
      <c r="Q224" s="76"/>
    </row>
    <row r="225" spans="1:17" x14ac:dyDescent="0.25">
      <c r="A225" s="43"/>
      <c r="B225" s="44"/>
      <c r="D225" s="49"/>
      <c r="E225" s="49"/>
      <c r="J225" s="67"/>
      <c r="P225" s="76"/>
      <c r="Q225" s="76"/>
    </row>
    <row r="226" spans="1:17" x14ac:dyDescent="0.25">
      <c r="A226" s="43"/>
      <c r="B226" s="44"/>
      <c r="D226" s="49"/>
      <c r="E226" s="49"/>
      <c r="J226" s="67"/>
      <c r="P226" s="76"/>
      <c r="Q226" s="76"/>
    </row>
    <row r="227" spans="1:17" x14ac:dyDescent="0.25">
      <c r="A227" s="43"/>
      <c r="B227" s="44"/>
      <c r="D227" s="49"/>
      <c r="E227" s="49"/>
      <c r="J227" s="67"/>
      <c r="P227" s="76"/>
      <c r="Q227" s="76"/>
    </row>
    <row r="228" spans="1:17" x14ac:dyDescent="0.25">
      <c r="A228" s="43"/>
      <c r="B228" s="44"/>
      <c r="D228" s="49"/>
      <c r="E228" s="49"/>
      <c r="J228" s="67"/>
      <c r="P228" s="76"/>
      <c r="Q228" s="76"/>
    </row>
    <row r="229" spans="1:17" x14ac:dyDescent="0.25">
      <c r="A229" s="43"/>
      <c r="B229" s="44"/>
      <c r="D229" s="49"/>
      <c r="E229" s="49"/>
      <c r="J229" s="67"/>
      <c r="P229" s="76"/>
      <c r="Q229" s="76"/>
    </row>
    <row r="230" spans="1:17" x14ac:dyDescent="0.25">
      <c r="A230" s="43"/>
      <c r="B230" s="44"/>
      <c r="D230" s="49"/>
      <c r="E230" s="49"/>
      <c r="J230" s="67"/>
      <c r="P230" s="76"/>
      <c r="Q230" s="76"/>
    </row>
    <row r="231" spans="1:17" x14ac:dyDescent="0.25">
      <c r="A231" s="43"/>
      <c r="B231" s="44"/>
      <c r="D231" s="49"/>
      <c r="E231" s="49"/>
      <c r="J231" s="67"/>
      <c r="P231" s="76"/>
      <c r="Q231" s="76"/>
    </row>
    <row r="232" spans="1:17" x14ac:dyDescent="0.25">
      <c r="P232" s="76"/>
      <c r="Q232" s="76"/>
    </row>
    <row r="233" spans="1:17" x14ac:dyDescent="0.25">
      <c r="P233" s="76"/>
      <c r="Q233" s="76"/>
    </row>
    <row r="234" spans="1:17" x14ac:dyDescent="0.25">
      <c r="P234" s="76"/>
      <c r="Q234" s="76"/>
    </row>
    <row r="235" spans="1:17" x14ac:dyDescent="0.25">
      <c r="P235" s="76"/>
      <c r="Q235" s="76"/>
    </row>
    <row r="236" spans="1:17" x14ac:dyDescent="0.25">
      <c r="P236" s="76"/>
      <c r="Q236" s="76"/>
    </row>
    <row r="237" spans="1:17" x14ac:dyDescent="0.25">
      <c r="P237" s="76"/>
      <c r="Q237" s="76"/>
    </row>
  </sheetData>
  <mergeCells count="3">
    <mergeCell ref="A2:Q2"/>
    <mergeCell ref="A3:Q3"/>
    <mergeCell ref="A1:Q1"/>
  </mergeCells>
  <conditionalFormatting sqref="B6">
    <cfRule type="cellIs" dxfId="16" priority="4" operator="lessThan">
      <formula>0</formula>
    </cfRule>
  </conditionalFormatting>
  <conditionalFormatting sqref="B132">
    <cfRule type="cellIs" dxfId="15" priority="8" operator="lessThan">
      <formula>0</formula>
    </cfRule>
  </conditionalFormatting>
  <conditionalFormatting sqref="B135">
    <cfRule type="cellIs" dxfId="14" priority="6" operator="lessThan">
      <formula>0</formula>
    </cfRule>
  </conditionalFormatting>
  <conditionalFormatting sqref="B140:B142">
    <cfRule type="cellIs" dxfId="13" priority="7" operator="lessThan">
      <formula>0</formula>
    </cfRule>
  </conditionalFormatting>
  <conditionalFormatting sqref="C5 K5:N5">
    <cfRule type="cellIs" dxfId="12" priority="5" stopIfTrue="1" operator="lessThan">
      <formula>0</formula>
    </cfRule>
  </conditionalFormatting>
  <conditionalFormatting sqref="D74:D75">
    <cfRule type="cellIs" dxfId="11" priority="2" stopIfTrue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3BCC6-C7CA-4A45-8AB0-DFCFD3F386C7}">
  <dimension ref="A1:H385"/>
  <sheetViews>
    <sheetView workbookViewId="0">
      <selection activeCell="N17" sqref="N17"/>
    </sheetView>
  </sheetViews>
  <sheetFormatPr defaultRowHeight="15" x14ac:dyDescent="0.25"/>
  <cols>
    <col min="1" max="1" width="37.5703125" customWidth="1"/>
    <col min="2" max="2" width="13.28515625" customWidth="1"/>
    <col min="3" max="3" width="15.42578125" customWidth="1"/>
    <col min="4" max="4" width="14.5703125" customWidth="1"/>
    <col min="5" max="5" width="15" customWidth="1"/>
    <col min="6" max="6" width="14.85546875" customWidth="1"/>
    <col min="7" max="7" width="8.7109375" customWidth="1"/>
    <col min="8" max="8" width="7.5703125" customWidth="1"/>
  </cols>
  <sheetData>
    <row r="1" spans="1:8" x14ac:dyDescent="0.25">
      <c r="A1" s="302" t="s">
        <v>266</v>
      </c>
      <c r="B1" s="478" t="s">
        <v>560</v>
      </c>
      <c r="C1" s="478"/>
      <c r="D1" s="478"/>
      <c r="E1" s="478"/>
      <c r="F1" s="478"/>
      <c r="G1" s="393"/>
      <c r="H1" s="393"/>
    </row>
    <row r="2" spans="1:8" x14ac:dyDescent="0.25">
      <c r="A2" s="393"/>
      <c r="B2" s="393"/>
      <c r="C2" s="393"/>
      <c r="D2" s="393"/>
      <c r="E2" s="393"/>
      <c r="F2" s="393"/>
      <c r="G2" s="393"/>
      <c r="H2" s="393"/>
    </row>
    <row r="3" spans="1:8" x14ac:dyDescent="0.25">
      <c r="A3" s="302" t="s">
        <v>267</v>
      </c>
      <c r="B3" s="479" t="s">
        <v>268</v>
      </c>
      <c r="C3" s="479"/>
      <c r="D3" s="479"/>
      <c r="E3" s="479"/>
      <c r="F3" s="479"/>
      <c r="G3" s="393"/>
      <c r="H3" s="393"/>
    </row>
    <row r="4" spans="1:8" ht="21.75" customHeight="1" x14ac:dyDescent="0.25">
      <c r="A4" s="302" t="s">
        <v>633</v>
      </c>
      <c r="B4" s="480" t="s">
        <v>269</v>
      </c>
      <c r="C4" s="480"/>
      <c r="D4" s="480"/>
      <c r="E4" s="480"/>
      <c r="F4" s="480"/>
      <c r="G4" s="302" t="s">
        <v>270</v>
      </c>
      <c r="H4" s="393"/>
    </row>
    <row r="5" spans="1:8" x14ac:dyDescent="0.25">
      <c r="A5" s="481" t="s">
        <v>271</v>
      </c>
      <c r="B5" s="481"/>
      <c r="C5" s="481"/>
      <c r="D5" s="481"/>
      <c r="E5" s="481"/>
      <c r="F5" s="481"/>
      <c r="G5" s="481"/>
      <c r="H5" s="481"/>
    </row>
    <row r="6" spans="1:8" x14ac:dyDescent="0.25">
      <c r="A6" s="393"/>
      <c r="B6" s="393"/>
      <c r="C6" s="393"/>
      <c r="D6" s="393"/>
      <c r="E6" s="393"/>
      <c r="F6" s="393"/>
      <c r="G6" s="393"/>
      <c r="H6" s="393"/>
    </row>
    <row r="7" spans="1:8" x14ac:dyDescent="0.25">
      <c r="A7" s="482" t="s">
        <v>272</v>
      </c>
      <c r="B7" s="484" t="s">
        <v>273</v>
      </c>
      <c r="C7" s="484"/>
      <c r="D7" s="484" t="s">
        <v>274</v>
      </c>
      <c r="E7" s="484"/>
      <c r="F7" s="484" t="s">
        <v>275</v>
      </c>
      <c r="G7" s="484"/>
      <c r="H7" s="485"/>
    </row>
    <row r="8" spans="1:8" x14ac:dyDescent="0.25">
      <c r="A8" s="483"/>
      <c r="B8" s="389" t="s">
        <v>276</v>
      </c>
      <c r="C8" s="389" t="s">
        <v>277</v>
      </c>
      <c r="D8" s="389" t="s">
        <v>276</v>
      </c>
      <c r="E8" s="389" t="s">
        <v>277</v>
      </c>
      <c r="F8" s="389" t="s">
        <v>276</v>
      </c>
      <c r="G8" s="486" t="s">
        <v>277</v>
      </c>
      <c r="H8" s="486"/>
    </row>
    <row r="9" spans="1:8" x14ac:dyDescent="0.25">
      <c r="A9" s="391" t="s">
        <v>278</v>
      </c>
      <c r="B9" s="390">
        <v>2567277.92</v>
      </c>
      <c r="C9" s="390">
        <v>0</v>
      </c>
      <c r="D9" s="390">
        <v>37161.08</v>
      </c>
      <c r="E9" s="390">
        <v>96117.13</v>
      </c>
      <c r="F9" s="390">
        <v>2508321.87</v>
      </c>
      <c r="G9" s="473">
        <v>0</v>
      </c>
      <c r="H9" s="473"/>
    </row>
    <row r="10" spans="1:8" x14ac:dyDescent="0.25">
      <c r="A10" s="474" t="s">
        <v>279</v>
      </c>
      <c r="B10" s="390">
        <v>5487.27</v>
      </c>
      <c r="C10" s="390">
        <v>0</v>
      </c>
      <c r="D10" s="390">
        <v>5790.98</v>
      </c>
      <c r="E10" s="390">
        <v>7391.76</v>
      </c>
      <c r="F10" s="390">
        <v>3886.49</v>
      </c>
      <c r="G10" s="476">
        <v>0</v>
      </c>
      <c r="H10" s="476"/>
    </row>
    <row r="11" spans="1:8" x14ac:dyDescent="0.25">
      <c r="A11" s="475"/>
      <c r="B11" s="393"/>
      <c r="C11" s="393"/>
      <c r="D11" s="393"/>
      <c r="E11" s="393"/>
      <c r="F11" s="393"/>
      <c r="G11" s="393"/>
      <c r="H11" s="393"/>
    </row>
    <row r="12" spans="1:8" x14ac:dyDescent="0.25">
      <c r="A12" s="474" t="s">
        <v>280</v>
      </c>
      <c r="B12" s="390">
        <v>5487.27</v>
      </c>
      <c r="C12" s="390">
        <v>0</v>
      </c>
      <c r="D12" s="390">
        <v>5790.98</v>
      </c>
      <c r="E12" s="390">
        <v>7391.76</v>
      </c>
      <c r="F12" s="390">
        <v>3886.49</v>
      </c>
      <c r="G12" s="476">
        <v>0</v>
      </c>
      <c r="H12" s="476"/>
    </row>
    <row r="13" spans="1:8" x14ac:dyDescent="0.25">
      <c r="A13" s="475"/>
      <c r="B13" s="393"/>
      <c r="C13" s="393"/>
      <c r="D13" s="393"/>
      <c r="E13" s="393"/>
      <c r="F13" s="393"/>
      <c r="G13" s="393"/>
      <c r="H13" s="393"/>
    </row>
    <row r="14" spans="1:8" x14ac:dyDescent="0.25">
      <c r="A14" s="300" t="s">
        <v>281</v>
      </c>
      <c r="B14" s="301">
        <v>20292.36</v>
      </c>
      <c r="C14" s="301">
        <v>0</v>
      </c>
      <c r="D14" s="301">
        <v>0</v>
      </c>
      <c r="E14" s="301">
        <v>5791.56</v>
      </c>
      <c r="F14" s="301">
        <v>14500.8</v>
      </c>
      <c r="G14" s="477">
        <v>0</v>
      </c>
      <c r="H14" s="477"/>
    </row>
    <row r="15" spans="1:8" x14ac:dyDescent="0.25">
      <c r="A15" s="300" t="s">
        <v>282</v>
      </c>
      <c r="B15" s="301">
        <v>0</v>
      </c>
      <c r="C15" s="301">
        <v>14805.09</v>
      </c>
      <c r="D15" s="301">
        <v>5790.98</v>
      </c>
      <c r="E15" s="301">
        <v>1600.2</v>
      </c>
      <c r="F15" s="301">
        <v>0</v>
      </c>
      <c r="G15" s="477">
        <v>10614.31</v>
      </c>
      <c r="H15" s="477"/>
    </row>
    <row r="16" spans="1:8" x14ac:dyDescent="0.25">
      <c r="A16" s="474" t="s">
        <v>283</v>
      </c>
      <c r="B16" s="390">
        <v>1231842.02</v>
      </c>
      <c r="C16" s="390">
        <v>0</v>
      </c>
      <c r="D16" s="390">
        <v>31370.1</v>
      </c>
      <c r="E16" s="390">
        <v>87325.37</v>
      </c>
      <c r="F16" s="390">
        <v>1175886.75</v>
      </c>
      <c r="G16" s="476">
        <v>0</v>
      </c>
      <c r="H16" s="476"/>
    </row>
    <row r="17" spans="1:8" x14ac:dyDescent="0.25">
      <c r="A17" s="475"/>
      <c r="B17" s="393"/>
      <c r="C17" s="393"/>
      <c r="D17" s="393"/>
      <c r="E17" s="393"/>
      <c r="F17" s="393"/>
      <c r="G17" s="393"/>
      <c r="H17" s="393"/>
    </row>
    <row r="18" spans="1:8" x14ac:dyDescent="0.25">
      <c r="A18" s="391" t="s">
        <v>284</v>
      </c>
      <c r="B18" s="390">
        <v>1199432.6200000001</v>
      </c>
      <c r="C18" s="390">
        <v>0</v>
      </c>
      <c r="D18" s="390">
        <v>0</v>
      </c>
      <c r="E18" s="390">
        <v>48874.7</v>
      </c>
      <c r="F18" s="390">
        <v>1150557.92</v>
      </c>
      <c r="G18" s="489">
        <v>0</v>
      </c>
      <c r="H18" s="489"/>
    </row>
    <row r="19" spans="1:8" x14ac:dyDescent="0.25">
      <c r="A19" s="300" t="s">
        <v>285</v>
      </c>
      <c r="B19" s="301">
        <v>4001676.92</v>
      </c>
      <c r="C19" s="301">
        <v>0</v>
      </c>
      <c r="D19" s="301">
        <v>0</v>
      </c>
      <c r="E19" s="301">
        <v>0</v>
      </c>
      <c r="F19" s="301">
        <v>4001676.92</v>
      </c>
      <c r="G19" s="477">
        <v>0</v>
      </c>
      <c r="H19" s="477"/>
    </row>
    <row r="20" spans="1:8" x14ac:dyDescent="0.25">
      <c r="A20" s="300" t="s">
        <v>286</v>
      </c>
      <c r="B20" s="301">
        <v>0</v>
      </c>
      <c r="C20" s="301">
        <v>1960600.3</v>
      </c>
      <c r="D20" s="301">
        <v>0</v>
      </c>
      <c r="E20" s="301">
        <v>48874.7</v>
      </c>
      <c r="F20" s="301">
        <v>0</v>
      </c>
      <c r="G20" s="477">
        <v>2009475</v>
      </c>
      <c r="H20" s="477"/>
    </row>
    <row r="21" spans="1:8" x14ac:dyDescent="0.25">
      <c r="A21" s="300" t="s">
        <v>287</v>
      </c>
      <c r="B21" s="301">
        <v>0</v>
      </c>
      <c r="C21" s="301">
        <v>841644</v>
      </c>
      <c r="D21" s="301">
        <v>0</v>
      </c>
      <c r="E21" s="301">
        <v>0</v>
      </c>
      <c r="F21" s="301">
        <v>0</v>
      </c>
      <c r="G21" s="477">
        <v>841644</v>
      </c>
      <c r="H21" s="477"/>
    </row>
    <row r="22" spans="1:8" x14ac:dyDescent="0.25">
      <c r="A22" s="391" t="s">
        <v>288</v>
      </c>
      <c r="B22" s="390">
        <v>24718.37</v>
      </c>
      <c r="C22" s="390">
        <v>0</v>
      </c>
      <c r="D22" s="390">
        <v>0</v>
      </c>
      <c r="E22" s="390">
        <v>2932.72</v>
      </c>
      <c r="F22" s="390">
        <v>21785.65</v>
      </c>
      <c r="G22" s="489">
        <v>0</v>
      </c>
      <c r="H22" s="489"/>
    </row>
    <row r="23" spans="1:8" x14ac:dyDescent="0.25">
      <c r="A23" s="300" t="s">
        <v>289</v>
      </c>
      <c r="B23" s="301">
        <v>33516.53</v>
      </c>
      <c r="C23" s="301">
        <v>0</v>
      </c>
      <c r="D23" s="301">
        <v>0</v>
      </c>
      <c r="E23" s="301">
        <v>0</v>
      </c>
      <c r="F23" s="301">
        <v>33516.53</v>
      </c>
      <c r="G23" s="477">
        <v>0</v>
      </c>
      <c r="H23" s="477"/>
    </row>
    <row r="24" spans="1:8" x14ac:dyDescent="0.25">
      <c r="A24" s="300" t="s">
        <v>290</v>
      </c>
      <c r="B24" s="301">
        <v>0</v>
      </c>
      <c r="C24" s="301">
        <v>8798.16</v>
      </c>
      <c r="D24" s="301">
        <v>0</v>
      </c>
      <c r="E24" s="301">
        <v>2932.72</v>
      </c>
      <c r="F24" s="301">
        <v>0</v>
      </c>
      <c r="G24" s="477">
        <v>11730.88</v>
      </c>
      <c r="H24" s="477"/>
    </row>
    <row r="25" spans="1:8" x14ac:dyDescent="0.25">
      <c r="A25" s="474" t="s">
        <v>291</v>
      </c>
      <c r="B25" s="390">
        <v>356.65</v>
      </c>
      <c r="C25" s="390">
        <v>0</v>
      </c>
      <c r="D25" s="390">
        <v>12490.68</v>
      </c>
      <c r="E25" s="390">
        <v>12670.05</v>
      </c>
      <c r="F25" s="390">
        <v>177.28</v>
      </c>
      <c r="G25" s="476">
        <v>0</v>
      </c>
      <c r="H25" s="476"/>
    </row>
    <row r="26" spans="1:8" x14ac:dyDescent="0.25">
      <c r="A26" s="475"/>
      <c r="B26" s="393"/>
      <c r="C26" s="393"/>
      <c r="D26" s="393"/>
      <c r="E26" s="393"/>
      <c r="F26" s="393"/>
      <c r="G26" s="393"/>
      <c r="H26" s="393"/>
    </row>
    <row r="27" spans="1:8" x14ac:dyDescent="0.25">
      <c r="A27" s="300" t="s">
        <v>292</v>
      </c>
      <c r="B27" s="301">
        <v>30754.560000000001</v>
      </c>
      <c r="C27" s="301">
        <v>0</v>
      </c>
      <c r="D27" s="301">
        <v>0</v>
      </c>
      <c r="E27" s="301">
        <v>12493</v>
      </c>
      <c r="F27" s="301">
        <v>18261.560000000001</v>
      </c>
      <c r="G27" s="477">
        <v>0</v>
      </c>
      <c r="H27" s="477"/>
    </row>
    <row r="28" spans="1:8" x14ac:dyDescent="0.25">
      <c r="A28" s="300" t="s">
        <v>293</v>
      </c>
      <c r="B28" s="301">
        <v>0</v>
      </c>
      <c r="C28" s="301">
        <v>30397.91</v>
      </c>
      <c r="D28" s="301">
        <v>12490.68</v>
      </c>
      <c r="E28" s="301">
        <v>177.05</v>
      </c>
      <c r="F28" s="301">
        <v>0</v>
      </c>
      <c r="G28" s="477">
        <v>18084.28</v>
      </c>
      <c r="H28" s="477"/>
    </row>
    <row r="29" spans="1:8" x14ac:dyDescent="0.25">
      <c r="A29" s="391" t="s">
        <v>294</v>
      </c>
      <c r="B29" s="390">
        <v>333.24</v>
      </c>
      <c r="C29" s="390">
        <v>0</v>
      </c>
      <c r="D29" s="390">
        <v>12900.28</v>
      </c>
      <c r="E29" s="390">
        <v>12980.58</v>
      </c>
      <c r="F29" s="390">
        <v>252.94</v>
      </c>
      <c r="G29" s="489">
        <v>0</v>
      </c>
      <c r="H29" s="489"/>
    </row>
    <row r="30" spans="1:8" x14ac:dyDescent="0.25">
      <c r="A30" s="300" t="s">
        <v>295</v>
      </c>
      <c r="B30" s="301">
        <v>62361.86</v>
      </c>
      <c r="C30" s="301">
        <v>0</v>
      </c>
      <c r="D30" s="301">
        <v>0</v>
      </c>
      <c r="E30" s="301">
        <v>12900.57</v>
      </c>
      <c r="F30" s="301">
        <v>49461.29</v>
      </c>
      <c r="G30" s="477">
        <v>0</v>
      </c>
      <c r="H30" s="477"/>
    </row>
    <row r="31" spans="1:8" x14ac:dyDescent="0.25">
      <c r="A31" s="300" t="s">
        <v>296</v>
      </c>
      <c r="B31" s="301">
        <v>0</v>
      </c>
      <c r="C31" s="301">
        <v>62028.62</v>
      </c>
      <c r="D31" s="301">
        <v>12900.28</v>
      </c>
      <c r="E31" s="301">
        <v>80.010000000000005</v>
      </c>
      <c r="F31" s="301">
        <v>0</v>
      </c>
      <c r="G31" s="477">
        <v>49208.35</v>
      </c>
      <c r="H31" s="477"/>
    </row>
    <row r="32" spans="1:8" x14ac:dyDescent="0.25">
      <c r="A32" s="474" t="s">
        <v>297</v>
      </c>
      <c r="B32" s="390">
        <v>7001.14</v>
      </c>
      <c r="C32" s="390">
        <v>0</v>
      </c>
      <c r="D32" s="390">
        <v>5979.14</v>
      </c>
      <c r="E32" s="390">
        <v>9867.32</v>
      </c>
      <c r="F32" s="390">
        <v>3112.96</v>
      </c>
      <c r="G32" s="476">
        <v>0</v>
      </c>
      <c r="H32" s="476"/>
    </row>
    <row r="33" spans="1:8" x14ac:dyDescent="0.25">
      <c r="A33" s="475"/>
      <c r="B33" s="393"/>
      <c r="C33" s="393"/>
      <c r="D33" s="393"/>
      <c r="E33" s="393"/>
      <c r="F33" s="393"/>
      <c r="G33" s="393"/>
      <c r="H33" s="393"/>
    </row>
    <row r="34" spans="1:8" x14ac:dyDescent="0.25">
      <c r="A34" s="300" t="s">
        <v>298</v>
      </c>
      <c r="B34" s="301">
        <v>202483.8</v>
      </c>
      <c r="C34" s="301">
        <v>0</v>
      </c>
      <c r="D34" s="301">
        <v>0</v>
      </c>
      <c r="E34" s="301">
        <v>5980.59</v>
      </c>
      <c r="F34" s="301">
        <v>196503.21</v>
      </c>
      <c r="G34" s="477">
        <v>0</v>
      </c>
      <c r="H34" s="477"/>
    </row>
    <row r="35" spans="1:8" x14ac:dyDescent="0.25">
      <c r="A35" s="300" t="s">
        <v>299</v>
      </c>
      <c r="B35" s="301">
        <v>0</v>
      </c>
      <c r="C35" s="301">
        <v>195482.66</v>
      </c>
      <c r="D35" s="301">
        <v>5979.14</v>
      </c>
      <c r="E35" s="301">
        <v>3886.73</v>
      </c>
      <c r="F35" s="301">
        <v>0</v>
      </c>
      <c r="G35" s="477">
        <v>193390.25</v>
      </c>
      <c r="H35" s="477"/>
    </row>
    <row r="36" spans="1:8" x14ac:dyDescent="0.25">
      <c r="A36" s="474" t="s">
        <v>300</v>
      </c>
      <c r="B36" s="390">
        <v>1317970</v>
      </c>
      <c r="C36" s="390">
        <v>0</v>
      </c>
      <c r="D36" s="390">
        <v>0</v>
      </c>
      <c r="E36" s="390">
        <v>0</v>
      </c>
      <c r="F36" s="390">
        <v>1317970</v>
      </c>
      <c r="G36" s="476">
        <v>0</v>
      </c>
      <c r="H36" s="476"/>
    </row>
    <row r="37" spans="1:8" x14ac:dyDescent="0.25">
      <c r="A37" s="475"/>
      <c r="B37" s="393"/>
      <c r="C37" s="393"/>
      <c r="D37" s="393"/>
      <c r="E37" s="393"/>
      <c r="F37" s="393"/>
      <c r="G37" s="393"/>
      <c r="H37" s="393"/>
    </row>
    <row r="38" spans="1:8" x14ac:dyDescent="0.25">
      <c r="A38" s="474" t="s">
        <v>301</v>
      </c>
      <c r="B38" s="390">
        <v>1317970</v>
      </c>
      <c r="C38" s="390">
        <v>0</v>
      </c>
      <c r="D38" s="390">
        <v>0</v>
      </c>
      <c r="E38" s="390">
        <v>0</v>
      </c>
      <c r="F38" s="390">
        <v>1317970</v>
      </c>
      <c r="G38" s="476">
        <v>0</v>
      </c>
      <c r="H38" s="476"/>
    </row>
    <row r="39" spans="1:8" x14ac:dyDescent="0.25">
      <c r="A39" s="475"/>
      <c r="B39" s="393"/>
      <c r="C39" s="393"/>
      <c r="D39" s="393"/>
      <c r="E39" s="393"/>
      <c r="F39" s="393"/>
      <c r="G39" s="393"/>
      <c r="H39" s="393"/>
    </row>
    <row r="40" spans="1:8" x14ac:dyDescent="0.25">
      <c r="A40" s="487" t="s">
        <v>302</v>
      </c>
      <c r="B40" s="301">
        <v>2098000</v>
      </c>
      <c r="C40" s="301">
        <v>0</v>
      </c>
      <c r="D40" s="301">
        <v>0</v>
      </c>
      <c r="E40" s="301">
        <v>0</v>
      </c>
      <c r="F40" s="301">
        <v>2098000</v>
      </c>
      <c r="G40" s="490">
        <v>0</v>
      </c>
      <c r="H40" s="490"/>
    </row>
    <row r="41" spans="1:8" x14ac:dyDescent="0.25">
      <c r="A41" s="488"/>
      <c r="B41" s="393"/>
      <c r="C41" s="393"/>
      <c r="D41" s="393"/>
      <c r="E41" s="393"/>
      <c r="F41" s="393"/>
      <c r="G41" s="393"/>
      <c r="H41" s="393"/>
    </row>
    <row r="42" spans="1:8" x14ac:dyDescent="0.25">
      <c r="A42" s="487" t="s">
        <v>303</v>
      </c>
      <c r="B42" s="301">
        <v>0</v>
      </c>
      <c r="C42" s="301">
        <v>780030</v>
      </c>
      <c r="D42" s="301">
        <v>0</v>
      </c>
      <c r="E42" s="301">
        <v>0</v>
      </c>
      <c r="F42" s="301">
        <v>0</v>
      </c>
      <c r="G42" s="490">
        <v>780030</v>
      </c>
      <c r="H42" s="490"/>
    </row>
    <row r="43" spans="1:8" x14ac:dyDescent="0.25">
      <c r="A43" s="488"/>
      <c r="B43" s="393"/>
      <c r="C43" s="393"/>
      <c r="D43" s="393"/>
      <c r="E43" s="393"/>
      <c r="F43" s="393"/>
      <c r="G43" s="393"/>
      <c r="H43" s="393"/>
    </row>
    <row r="44" spans="1:8" x14ac:dyDescent="0.25">
      <c r="A44" s="391" t="s">
        <v>304</v>
      </c>
      <c r="B44" s="390">
        <v>880</v>
      </c>
      <c r="C44" s="390">
        <v>0</v>
      </c>
      <c r="D44" s="390">
        <v>0</v>
      </c>
      <c r="E44" s="390">
        <v>0</v>
      </c>
      <c r="F44" s="390">
        <v>880</v>
      </c>
      <c r="G44" s="489">
        <v>0</v>
      </c>
      <c r="H44" s="489"/>
    </row>
    <row r="45" spans="1:8" x14ac:dyDescent="0.25">
      <c r="A45" s="300" t="s">
        <v>305</v>
      </c>
      <c r="B45" s="301">
        <v>880</v>
      </c>
      <c r="C45" s="301">
        <v>0</v>
      </c>
      <c r="D45" s="301">
        <v>0</v>
      </c>
      <c r="E45" s="301">
        <v>0</v>
      </c>
      <c r="F45" s="301">
        <v>880</v>
      </c>
      <c r="G45" s="477">
        <v>0</v>
      </c>
      <c r="H45" s="477"/>
    </row>
    <row r="46" spans="1:8" x14ac:dyDescent="0.25">
      <c r="A46" s="391" t="s">
        <v>306</v>
      </c>
      <c r="B46" s="390">
        <v>11098.63</v>
      </c>
      <c r="C46" s="390">
        <v>0</v>
      </c>
      <c r="D46" s="390">
        <v>0</v>
      </c>
      <c r="E46" s="390">
        <v>1400</v>
      </c>
      <c r="F46" s="390">
        <v>9698.6299999999992</v>
      </c>
      <c r="G46" s="489">
        <v>0</v>
      </c>
      <c r="H46" s="489"/>
    </row>
    <row r="47" spans="1:8" x14ac:dyDescent="0.25">
      <c r="A47" s="300" t="s">
        <v>307</v>
      </c>
      <c r="B47" s="301">
        <v>17377.2</v>
      </c>
      <c r="C47" s="301">
        <v>0</v>
      </c>
      <c r="D47" s="301">
        <v>0</v>
      </c>
      <c r="E47" s="301">
        <v>0</v>
      </c>
      <c r="F47" s="301">
        <v>17377.2</v>
      </c>
      <c r="G47" s="477">
        <v>0</v>
      </c>
      <c r="H47" s="477"/>
    </row>
    <row r="48" spans="1:8" x14ac:dyDescent="0.25">
      <c r="A48" s="300" t="s">
        <v>308</v>
      </c>
      <c r="B48" s="301">
        <v>11098.63</v>
      </c>
      <c r="C48" s="301">
        <v>0</v>
      </c>
      <c r="D48" s="301">
        <v>0</v>
      </c>
      <c r="E48" s="301">
        <v>1400</v>
      </c>
      <c r="F48" s="301">
        <v>9698.6299999999992</v>
      </c>
      <c r="G48" s="477">
        <v>0</v>
      </c>
      <c r="H48" s="477"/>
    </row>
    <row r="49" spans="1:8" x14ac:dyDescent="0.25">
      <c r="A49" s="487" t="s">
        <v>309</v>
      </c>
      <c r="B49" s="301">
        <v>0</v>
      </c>
      <c r="C49" s="301">
        <v>17377.2</v>
      </c>
      <c r="D49" s="301">
        <v>0</v>
      </c>
      <c r="E49" s="301">
        <v>0</v>
      </c>
      <c r="F49" s="301">
        <v>0</v>
      </c>
      <c r="G49" s="490">
        <v>17377.2</v>
      </c>
      <c r="H49" s="490"/>
    </row>
    <row r="50" spans="1:8" x14ac:dyDescent="0.25">
      <c r="A50" s="488"/>
      <c r="B50" s="393"/>
      <c r="C50" s="393"/>
      <c r="D50" s="393"/>
      <c r="E50" s="393"/>
      <c r="F50" s="393"/>
      <c r="G50" s="393"/>
      <c r="H50" s="393"/>
    </row>
    <row r="51" spans="1:8" x14ac:dyDescent="0.25">
      <c r="A51" s="391" t="s">
        <v>310</v>
      </c>
      <c r="B51" s="390">
        <v>1511389.03</v>
      </c>
      <c r="C51" s="390">
        <v>0</v>
      </c>
      <c r="D51" s="390">
        <v>1643358.59</v>
      </c>
      <c r="E51" s="390">
        <v>1638906.89</v>
      </c>
      <c r="F51" s="390">
        <v>1515840.73</v>
      </c>
      <c r="G51" s="489">
        <v>0</v>
      </c>
      <c r="H51" s="489"/>
    </row>
    <row r="52" spans="1:8" x14ac:dyDescent="0.25">
      <c r="A52" s="474" t="s">
        <v>311</v>
      </c>
      <c r="B52" s="390">
        <v>191077.9</v>
      </c>
      <c r="C52" s="390">
        <v>0</v>
      </c>
      <c r="D52" s="390">
        <v>7039</v>
      </c>
      <c r="E52" s="390">
        <v>34320.28</v>
      </c>
      <c r="F52" s="390">
        <v>163796.62</v>
      </c>
      <c r="G52" s="476">
        <v>0</v>
      </c>
      <c r="H52" s="476"/>
    </row>
    <row r="53" spans="1:8" x14ac:dyDescent="0.25">
      <c r="A53" s="475"/>
      <c r="B53" s="393"/>
      <c r="C53" s="393"/>
      <c r="D53" s="393"/>
      <c r="E53" s="393"/>
      <c r="F53" s="393"/>
      <c r="G53" s="393"/>
      <c r="H53" s="393"/>
    </row>
    <row r="54" spans="1:8" x14ac:dyDescent="0.25">
      <c r="A54" s="391" t="s">
        <v>312</v>
      </c>
      <c r="B54" s="390">
        <v>187704.92</v>
      </c>
      <c r="C54" s="390">
        <v>0</v>
      </c>
      <c r="D54" s="390">
        <v>0</v>
      </c>
      <c r="E54" s="390">
        <v>32538.16</v>
      </c>
      <c r="F54" s="390">
        <v>155166.76</v>
      </c>
      <c r="G54" s="489">
        <v>0</v>
      </c>
      <c r="H54" s="489"/>
    </row>
    <row r="55" spans="1:8" x14ac:dyDescent="0.25">
      <c r="A55" s="300" t="s">
        <v>313</v>
      </c>
      <c r="B55" s="301">
        <v>19112.560000000001</v>
      </c>
      <c r="C55" s="301">
        <v>0</v>
      </c>
      <c r="D55" s="301">
        <v>0</v>
      </c>
      <c r="E55" s="301">
        <v>4421.59</v>
      </c>
      <c r="F55" s="301">
        <v>14690.97</v>
      </c>
      <c r="G55" s="477">
        <v>0</v>
      </c>
      <c r="H55" s="477"/>
    </row>
    <row r="56" spans="1:8" x14ac:dyDescent="0.25">
      <c r="A56" s="300" t="s">
        <v>314</v>
      </c>
      <c r="B56" s="301">
        <v>70442.36</v>
      </c>
      <c r="C56" s="301">
        <v>0</v>
      </c>
      <c r="D56" s="301">
        <v>0</v>
      </c>
      <c r="E56" s="301">
        <v>28116.57</v>
      </c>
      <c r="F56" s="301">
        <v>42325.79</v>
      </c>
      <c r="G56" s="477">
        <v>0</v>
      </c>
      <c r="H56" s="477"/>
    </row>
    <row r="57" spans="1:8" x14ac:dyDescent="0.25">
      <c r="A57" s="487" t="s">
        <v>315</v>
      </c>
      <c r="B57" s="301">
        <v>98150</v>
      </c>
      <c r="C57" s="301">
        <v>0</v>
      </c>
      <c r="D57" s="301">
        <v>0</v>
      </c>
      <c r="E57" s="301">
        <v>0</v>
      </c>
      <c r="F57" s="301">
        <v>98150</v>
      </c>
      <c r="G57" s="490">
        <v>0</v>
      </c>
      <c r="H57" s="490"/>
    </row>
    <row r="58" spans="1:8" x14ac:dyDescent="0.25">
      <c r="A58" s="488"/>
      <c r="B58" s="393"/>
      <c r="C58" s="393"/>
      <c r="D58" s="393"/>
      <c r="E58" s="393"/>
      <c r="F58" s="393"/>
      <c r="G58" s="393"/>
      <c r="H58" s="393"/>
    </row>
    <row r="59" spans="1:8" x14ac:dyDescent="0.25">
      <c r="A59" s="474" t="s">
        <v>316</v>
      </c>
      <c r="B59" s="390">
        <v>2775.44</v>
      </c>
      <c r="C59" s="390">
        <v>0</v>
      </c>
      <c r="D59" s="390">
        <v>1835.96</v>
      </c>
      <c r="E59" s="390">
        <v>1757.07</v>
      </c>
      <c r="F59" s="390">
        <v>2854.33</v>
      </c>
      <c r="G59" s="476">
        <v>0</v>
      </c>
      <c r="H59" s="476"/>
    </row>
    <row r="60" spans="1:8" x14ac:dyDescent="0.25">
      <c r="A60" s="475"/>
      <c r="B60" s="393"/>
      <c r="C60" s="393"/>
      <c r="D60" s="393"/>
      <c r="E60" s="393"/>
      <c r="F60" s="393"/>
      <c r="G60" s="393"/>
      <c r="H60" s="393"/>
    </row>
    <row r="61" spans="1:8" x14ac:dyDescent="0.25">
      <c r="A61" s="300" t="s">
        <v>317</v>
      </c>
      <c r="B61" s="301">
        <v>0</v>
      </c>
      <c r="C61" s="301">
        <v>0</v>
      </c>
      <c r="D61" s="301">
        <v>1835.96</v>
      </c>
      <c r="E61" s="301">
        <v>1757.07</v>
      </c>
      <c r="F61" s="301">
        <v>78.89</v>
      </c>
      <c r="G61" s="477">
        <v>0</v>
      </c>
      <c r="H61" s="477"/>
    </row>
    <row r="62" spans="1:8" x14ac:dyDescent="0.25">
      <c r="A62" s="300" t="s">
        <v>318</v>
      </c>
      <c r="B62" s="301">
        <v>2775.44</v>
      </c>
      <c r="C62" s="301">
        <v>0</v>
      </c>
      <c r="D62" s="301">
        <v>0</v>
      </c>
      <c r="E62" s="301">
        <v>0</v>
      </c>
      <c r="F62" s="301">
        <v>2775.44</v>
      </c>
      <c r="G62" s="477">
        <v>0</v>
      </c>
      <c r="H62" s="477"/>
    </row>
    <row r="63" spans="1:8" x14ac:dyDescent="0.25">
      <c r="A63" s="391" t="s">
        <v>319</v>
      </c>
      <c r="B63" s="390">
        <v>454.84</v>
      </c>
      <c r="C63" s="390">
        <v>0</v>
      </c>
      <c r="D63" s="390">
        <v>5203.04</v>
      </c>
      <c r="E63" s="390">
        <v>25.05</v>
      </c>
      <c r="F63" s="390">
        <v>5632.83</v>
      </c>
      <c r="G63" s="489">
        <v>0</v>
      </c>
      <c r="H63" s="489"/>
    </row>
    <row r="64" spans="1:8" x14ac:dyDescent="0.25">
      <c r="A64" s="300" t="s">
        <v>320</v>
      </c>
      <c r="B64" s="301">
        <v>454.84</v>
      </c>
      <c r="C64" s="301">
        <v>0</v>
      </c>
      <c r="D64" s="301">
        <v>5203.04</v>
      </c>
      <c r="E64" s="301">
        <v>25.05</v>
      </c>
      <c r="F64" s="301">
        <v>5632.83</v>
      </c>
      <c r="G64" s="477">
        <v>0</v>
      </c>
      <c r="H64" s="477"/>
    </row>
    <row r="65" spans="1:8" x14ac:dyDescent="0.25">
      <c r="A65" s="391" t="s">
        <v>321</v>
      </c>
      <c r="B65" s="390">
        <v>142.69999999999999</v>
      </c>
      <c r="C65" s="390">
        <v>0</v>
      </c>
      <c r="D65" s="390">
        <v>0</v>
      </c>
      <c r="E65" s="390">
        <v>0</v>
      </c>
      <c r="F65" s="390">
        <v>142.69999999999999</v>
      </c>
      <c r="G65" s="489">
        <v>0</v>
      </c>
      <c r="H65" s="489"/>
    </row>
    <row r="66" spans="1:8" x14ac:dyDescent="0.25">
      <c r="A66" s="300" t="s">
        <v>322</v>
      </c>
      <c r="B66" s="301">
        <v>142.69999999999999</v>
      </c>
      <c r="C66" s="301">
        <v>0</v>
      </c>
      <c r="D66" s="301">
        <v>0</v>
      </c>
      <c r="E66" s="301">
        <v>0</v>
      </c>
      <c r="F66" s="301">
        <v>142.69999999999999</v>
      </c>
      <c r="G66" s="477">
        <v>0</v>
      </c>
      <c r="H66" s="477"/>
    </row>
    <row r="67" spans="1:8" x14ac:dyDescent="0.25">
      <c r="A67" s="474" t="s">
        <v>323</v>
      </c>
      <c r="B67" s="390">
        <v>73986.91</v>
      </c>
      <c r="C67" s="390">
        <v>0</v>
      </c>
      <c r="D67" s="390">
        <v>591612.64</v>
      </c>
      <c r="E67" s="390">
        <v>520688.6</v>
      </c>
      <c r="F67" s="390">
        <v>144910.95000000001</v>
      </c>
      <c r="G67" s="476">
        <v>0</v>
      </c>
      <c r="H67" s="476"/>
    </row>
    <row r="68" spans="1:8" x14ac:dyDescent="0.25">
      <c r="A68" s="475"/>
      <c r="B68" s="393"/>
      <c r="C68" s="393"/>
      <c r="D68" s="393"/>
      <c r="E68" s="393"/>
      <c r="F68" s="393"/>
      <c r="G68" s="393"/>
      <c r="H68" s="393"/>
    </row>
    <row r="69" spans="1:8" x14ac:dyDescent="0.25">
      <c r="A69" s="391" t="s">
        <v>324</v>
      </c>
      <c r="B69" s="390">
        <v>73986.91</v>
      </c>
      <c r="C69" s="390">
        <v>0</v>
      </c>
      <c r="D69" s="390">
        <v>591612.64</v>
      </c>
      <c r="E69" s="390">
        <v>520688.6</v>
      </c>
      <c r="F69" s="390">
        <v>144910.95000000001</v>
      </c>
      <c r="G69" s="489">
        <v>0</v>
      </c>
      <c r="H69" s="489"/>
    </row>
    <row r="70" spans="1:8" x14ac:dyDescent="0.25">
      <c r="A70" s="391" t="s">
        <v>325</v>
      </c>
      <c r="B70" s="390">
        <v>72414.5</v>
      </c>
      <c r="C70" s="390">
        <v>0</v>
      </c>
      <c r="D70" s="390">
        <v>277119.61</v>
      </c>
      <c r="E70" s="390">
        <v>273772.5</v>
      </c>
      <c r="F70" s="390">
        <v>75761.61</v>
      </c>
      <c r="G70" s="476">
        <v>0</v>
      </c>
      <c r="H70" s="476"/>
    </row>
    <row r="71" spans="1:8" x14ac:dyDescent="0.25">
      <c r="A71" s="393"/>
      <c r="B71" s="393"/>
      <c r="C71" s="393"/>
      <c r="D71" s="393"/>
      <c r="E71" s="393"/>
      <c r="F71" s="393"/>
      <c r="G71" s="393"/>
      <c r="H71" s="393"/>
    </row>
    <row r="72" spans="1:8" x14ac:dyDescent="0.25">
      <c r="A72" s="302" t="s">
        <v>267</v>
      </c>
      <c r="B72" s="479" t="s">
        <v>268</v>
      </c>
      <c r="C72" s="479"/>
      <c r="D72" s="479"/>
      <c r="E72" s="479"/>
      <c r="F72" s="479"/>
      <c r="G72" s="393"/>
      <c r="H72" s="393"/>
    </row>
    <row r="73" spans="1:8" x14ac:dyDescent="0.25">
      <c r="A73" s="302" t="s">
        <v>633</v>
      </c>
      <c r="B73" s="480" t="s">
        <v>269</v>
      </c>
      <c r="C73" s="480"/>
      <c r="D73" s="480"/>
      <c r="E73" s="480"/>
      <c r="F73" s="480"/>
      <c r="G73" s="302" t="s">
        <v>543</v>
      </c>
      <c r="H73" s="393"/>
    </row>
    <row r="74" spans="1:8" x14ac:dyDescent="0.25">
      <c r="A74" s="481" t="s">
        <v>271</v>
      </c>
      <c r="B74" s="481"/>
      <c r="C74" s="481"/>
      <c r="D74" s="481"/>
      <c r="E74" s="481"/>
      <c r="F74" s="481"/>
      <c r="G74" s="481"/>
      <c r="H74" s="481"/>
    </row>
    <row r="75" spans="1:8" x14ac:dyDescent="0.25">
      <c r="A75" s="393"/>
      <c r="B75" s="393"/>
      <c r="C75" s="393"/>
      <c r="D75" s="393"/>
      <c r="E75" s="393"/>
      <c r="F75" s="393"/>
      <c r="G75" s="393"/>
      <c r="H75" s="393"/>
    </row>
    <row r="76" spans="1:8" x14ac:dyDescent="0.25">
      <c r="A76" s="482" t="s">
        <v>272</v>
      </c>
      <c r="B76" s="484" t="s">
        <v>273</v>
      </c>
      <c r="C76" s="484"/>
      <c r="D76" s="484" t="s">
        <v>274</v>
      </c>
      <c r="E76" s="484"/>
      <c r="F76" s="484" t="s">
        <v>275</v>
      </c>
      <c r="G76" s="484"/>
      <c r="H76" s="485"/>
    </row>
    <row r="77" spans="1:8" x14ac:dyDescent="0.25">
      <c r="A77" s="483"/>
      <c r="B77" s="389" t="s">
        <v>276</v>
      </c>
      <c r="C77" s="389" t="s">
        <v>277</v>
      </c>
      <c r="D77" s="389" t="s">
        <v>276</v>
      </c>
      <c r="E77" s="389" t="s">
        <v>277</v>
      </c>
      <c r="F77" s="389" t="s">
        <v>276</v>
      </c>
      <c r="G77" s="492" t="s">
        <v>277</v>
      </c>
      <c r="H77" s="493"/>
    </row>
    <row r="78" spans="1:8" x14ac:dyDescent="0.25">
      <c r="A78" s="300" t="s">
        <v>326</v>
      </c>
      <c r="B78" s="301">
        <v>761.57</v>
      </c>
      <c r="C78" s="301">
        <v>0</v>
      </c>
      <c r="D78" s="301">
        <v>0</v>
      </c>
      <c r="E78" s="301">
        <v>0</v>
      </c>
      <c r="F78" s="301">
        <v>761.57</v>
      </c>
      <c r="G78" s="491">
        <v>0</v>
      </c>
      <c r="H78" s="491"/>
    </row>
    <row r="79" spans="1:8" x14ac:dyDescent="0.25">
      <c r="A79" s="300" t="s">
        <v>327</v>
      </c>
      <c r="B79" s="301">
        <v>0</v>
      </c>
      <c r="C79" s="301">
        <v>59.68</v>
      </c>
      <c r="D79" s="301">
        <v>0</v>
      </c>
      <c r="E79" s="301">
        <v>0</v>
      </c>
      <c r="F79" s="301">
        <v>0</v>
      </c>
      <c r="G79" s="477">
        <v>59.68</v>
      </c>
      <c r="H79" s="477"/>
    </row>
    <row r="80" spans="1:8" x14ac:dyDescent="0.25">
      <c r="A80" s="300" t="s">
        <v>328</v>
      </c>
      <c r="B80" s="301">
        <v>1895.07</v>
      </c>
      <c r="C80" s="301">
        <v>0</v>
      </c>
      <c r="D80" s="301">
        <v>41617.769999999997</v>
      </c>
      <c r="E80" s="301">
        <v>41530.35</v>
      </c>
      <c r="F80" s="301">
        <v>1982.49</v>
      </c>
      <c r="G80" s="477">
        <v>0</v>
      </c>
      <c r="H80" s="477"/>
    </row>
    <row r="81" spans="1:8" x14ac:dyDescent="0.25">
      <c r="A81" s="300" t="s">
        <v>329</v>
      </c>
      <c r="B81" s="301">
        <v>32818.699999999997</v>
      </c>
      <c r="C81" s="301">
        <v>0</v>
      </c>
      <c r="D81" s="301">
        <v>43022.47</v>
      </c>
      <c r="E81" s="301">
        <v>33533.17</v>
      </c>
      <c r="F81" s="301">
        <v>42308</v>
      </c>
      <c r="G81" s="477">
        <v>0</v>
      </c>
      <c r="H81" s="477"/>
    </row>
    <row r="82" spans="1:8" x14ac:dyDescent="0.25">
      <c r="A82" s="487" t="s">
        <v>330</v>
      </c>
      <c r="B82" s="301">
        <v>508.36</v>
      </c>
      <c r="C82" s="301">
        <v>0</v>
      </c>
      <c r="D82" s="301">
        <v>1844.37</v>
      </c>
      <c r="E82" s="301">
        <v>1509.46</v>
      </c>
      <c r="F82" s="301">
        <v>843.27</v>
      </c>
      <c r="G82" s="490">
        <v>0</v>
      </c>
      <c r="H82" s="490"/>
    </row>
    <row r="83" spans="1:8" x14ac:dyDescent="0.25">
      <c r="A83" s="488"/>
      <c r="B83" s="393"/>
      <c r="C83" s="393"/>
      <c r="D83" s="393"/>
      <c r="E83" s="393"/>
      <c r="F83" s="393"/>
      <c r="G83" s="393"/>
      <c r="H83" s="393"/>
    </row>
    <row r="84" spans="1:8" x14ac:dyDescent="0.25">
      <c r="A84" s="300" t="s">
        <v>331</v>
      </c>
      <c r="B84" s="301">
        <v>36490.480000000003</v>
      </c>
      <c r="C84" s="301">
        <v>0</v>
      </c>
      <c r="D84" s="301">
        <v>190635</v>
      </c>
      <c r="E84" s="301">
        <v>197199.52</v>
      </c>
      <c r="F84" s="301">
        <v>29925.96</v>
      </c>
      <c r="G84" s="477">
        <v>0</v>
      </c>
      <c r="H84" s="477"/>
    </row>
    <row r="85" spans="1:8" x14ac:dyDescent="0.25">
      <c r="A85" s="474" t="s">
        <v>332</v>
      </c>
      <c r="B85" s="390">
        <v>51100.03</v>
      </c>
      <c r="C85" s="390">
        <v>0</v>
      </c>
      <c r="D85" s="390">
        <v>314493.03000000003</v>
      </c>
      <c r="E85" s="390">
        <v>246916.1</v>
      </c>
      <c r="F85" s="390">
        <v>118676.96</v>
      </c>
      <c r="G85" s="476">
        <v>0</v>
      </c>
      <c r="H85" s="476"/>
    </row>
    <row r="86" spans="1:8" x14ac:dyDescent="0.25">
      <c r="A86" s="475"/>
      <c r="B86" s="393"/>
      <c r="C86" s="393"/>
      <c r="D86" s="393"/>
      <c r="E86" s="393"/>
      <c r="F86" s="393"/>
      <c r="G86" s="393"/>
      <c r="H86" s="393"/>
    </row>
    <row r="87" spans="1:8" x14ac:dyDescent="0.25">
      <c r="A87" s="300" t="s">
        <v>333</v>
      </c>
      <c r="B87" s="301">
        <v>472.2</v>
      </c>
      <c r="C87" s="301">
        <v>0</v>
      </c>
      <c r="D87" s="301">
        <v>30432.51</v>
      </c>
      <c r="E87" s="301">
        <v>28156.55</v>
      </c>
      <c r="F87" s="301">
        <v>2748.16</v>
      </c>
      <c r="G87" s="477">
        <v>0</v>
      </c>
      <c r="H87" s="477"/>
    </row>
    <row r="88" spans="1:8" x14ac:dyDescent="0.25">
      <c r="A88" s="300" t="s">
        <v>334</v>
      </c>
      <c r="B88" s="301">
        <v>48787.83</v>
      </c>
      <c r="C88" s="301">
        <v>0</v>
      </c>
      <c r="D88" s="301">
        <v>0</v>
      </c>
      <c r="E88" s="301">
        <v>0</v>
      </c>
      <c r="F88" s="301">
        <v>48787.83</v>
      </c>
      <c r="G88" s="477">
        <v>0</v>
      </c>
      <c r="H88" s="477"/>
    </row>
    <row r="89" spans="1:8" x14ac:dyDescent="0.25">
      <c r="A89" s="487" t="s">
        <v>335</v>
      </c>
      <c r="B89" s="301">
        <v>1840</v>
      </c>
      <c r="C89" s="301">
        <v>0</v>
      </c>
      <c r="D89" s="301">
        <v>284060.52</v>
      </c>
      <c r="E89" s="301">
        <v>218759.55</v>
      </c>
      <c r="F89" s="301">
        <v>67140.97</v>
      </c>
      <c r="G89" s="490">
        <v>0</v>
      </c>
      <c r="H89" s="490"/>
    </row>
    <row r="90" spans="1:8" x14ac:dyDescent="0.25">
      <c r="A90" s="488"/>
      <c r="B90" s="393"/>
      <c r="C90" s="393"/>
      <c r="D90" s="393"/>
      <c r="E90" s="393"/>
      <c r="F90" s="393"/>
      <c r="G90" s="393"/>
      <c r="H90" s="393"/>
    </row>
    <row r="91" spans="1:8" x14ac:dyDescent="0.25">
      <c r="A91" s="391" t="s">
        <v>336</v>
      </c>
      <c r="B91" s="390">
        <v>0</v>
      </c>
      <c r="C91" s="390">
        <v>49527.62</v>
      </c>
      <c r="D91" s="390">
        <v>0</v>
      </c>
      <c r="E91" s="390">
        <v>0</v>
      </c>
      <c r="F91" s="390">
        <v>0</v>
      </c>
      <c r="G91" s="489">
        <v>49527.62</v>
      </c>
      <c r="H91" s="489"/>
    </row>
    <row r="92" spans="1:8" x14ac:dyDescent="0.25">
      <c r="A92" s="300" t="s">
        <v>337</v>
      </c>
      <c r="B92" s="301">
        <v>0</v>
      </c>
      <c r="C92" s="301">
        <v>49527.62</v>
      </c>
      <c r="D92" s="301">
        <v>0</v>
      </c>
      <c r="E92" s="301">
        <v>0</v>
      </c>
      <c r="F92" s="301">
        <v>0</v>
      </c>
      <c r="G92" s="477">
        <v>49527.62</v>
      </c>
      <c r="H92" s="477"/>
    </row>
    <row r="93" spans="1:8" x14ac:dyDescent="0.25">
      <c r="A93" s="474" t="s">
        <v>338</v>
      </c>
      <c r="B93" s="390">
        <v>114591.43</v>
      </c>
      <c r="C93" s="390">
        <v>0</v>
      </c>
      <c r="D93" s="390">
        <v>54802.38</v>
      </c>
      <c r="E93" s="390">
        <v>59731.87</v>
      </c>
      <c r="F93" s="390">
        <v>109661.94</v>
      </c>
      <c r="G93" s="476">
        <v>0</v>
      </c>
      <c r="H93" s="476"/>
    </row>
    <row r="94" spans="1:8" x14ac:dyDescent="0.25">
      <c r="A94" s="475"/>
      <c r="B94" s="393"/>
      <c r="C94" s="393"/>
      <c r="D94" s="393"/>
      <c r="E94" s="393"/>
      <c r="F94" s="393"/>
      <c r="G94" s="393"/>
      <c r="H94" s="393"/>
    </row>
    <row r="95" spans="1:8" x14ac:dyDescent="0.25">
      <c r="A95" s="391" t="s">
        <v>339</v>
      </c>
      <c r="B95" s="390">
        <v>4692.96</v>
      </c>
      <c r="C95" s="390">
        <v>0</v>
      </c>
      <c r="D95" s="390">
        <v>34525.660000000003</v>
      </c>
      <c r="E95" s="390">
        <v>32880.17</v>
      </c>
      <c r="F95" s="390">
        <v>6338.45</v>
      </c>
      <c r="G95" s="489">
        <v>0</v>
      </c>
      <c r="H95" s="489"/>
    </row>
    <row r="96" spans="1:8" x14ac:dyDescent="0.25">
      <c r="A96" s="391" t="s">
        <v>340</v>
      </c>
      <c r="B96" s="390">
        <v>4692.96</v>
      </c>
      <c r="C96" s="390">
        <v>0</v>
      </c>
      <c r="D96" s="390">
        <v>34525.660000000003</v>
      </c>
      <c r="E96" s="390">
        <v>32880.17</v>
      </c>
      <c r="F96" s="390">
        <v>6338.45</v>
      </c>
      <c r="G96" s="489">
        <v>0</v>
      </c>
      <c r="H96" s="489"/>
    </row>
    <row r="97" spans="1:8" x14ac:dyDescent="0.25">
      <c r="A97" s="487" t="s">
        <v>341</v>
      </c>
      <c r="B97" s="301">
        <v>656.22</v>
      </c>
      <c r="C97" s="301">
        <v>0</v>
      </c>
      <c r="D97" s="301">
        <v>0</v>
      </c>
      <c r="E97" s="301">
        <v>0</v>
      </c>
      <c r="F97" s="301">
        <v>656.22</v>
      </c>
      <c r="G97" s="490">
        <v>0</v>
      </c>
      <c r="H97" s="490"/>
    </row>
    <row r="98" spans="1:8" x14ac:dyDescent="0.25">
      <c r="A98" s="488"/>
      <c r="B98" s="393"/>
      <c r="C98" s="393"/>
      <c r="D98" s="393"/>
      <c r="E98" s="393"/>
      <c r="F98" s="393"/>
      <c r="G98" s="393"/>
      <c r="H98" s="393"/>
    </row>
    <row r="99" spans="1:8" x14ac:dyDescent="0.25">
      <c r="A99" s="487" t="s">
        <v>544</v>
      </c>
      <c r="B99" s="301">
        <v>0</v>
      </c>
      <c r="C99" s="301">
        <v>0</v>
      </c>
      <c r="D99" s="301">
        <v>20.7</v>
      </c>
      <c r="E99" s="301">
        <v>20.7</v>
      </c>
      <c r="F99" s="301">
        <v>0</v>
      </c>
      <c r="G99" s="490">
        <v>0</v>
      </c>
      <c r="H99" s="490"/>
    </row>
    <row r="100" spans="1:8" x14ac:dyDescent="0.25">
      <c r="A100" s="488"/>
      <c r="B100" s="393"/>
      <c r="C100" s="393"/>
      <c r="D100" s="393"/>
      <c r="E100" s="393"/>
      <c r="F100" s="393"/>
      <c r="G100" s="393"/>
      <c r="H100" s="393"/>
    </row>
    <row r="101" spans="1:8" x14ac:dyDescent="0.25">
      <c r="A101" s="300" t="s">
        <v>342</v>
      </c>
      <c r="B101" s="301">
        <v>1043.76</v>
      </c>
      <c r="C101" s="301">
        <v>0</v>
      </c>
      <c r="D101" s="301">
        <v>0</v>
      </c>
      <c r="E101" s="301">
        <v>0</v>
      </c>
      <c r="F101" s="301">
        <v>1043.76</v>
      </c>
      <c r="G101" s="477">
        <v>0</v>
      </c>
      <c r="H101" s="477"/>
    </row>
    <row r="102" spans="1:8" x14ac:dyDescent="0.25">
      <c r="A102" s="300" t="s">
        <v>343</v>
      </c>
      <c r="B102" s="301">
        <v>0</v>
      </c>
      <c r="C102" s="301">
        <v>0</v>
      </c>
      <c r="D102" s="301">
        <v>224</v>
      </c>
      <c r="E102" s="301">
        <v>224</v>
      </c>
      <c r="F102" s="301">
        <v>0</v>
      </c>
      <c r="G102" s="477">
        <v>0</v>
      </c>
      <c r="H102" s="477"/>
    </row>
    <row r="103" spans="1:8" x14ac:dyDescent="0.25">
      <c r="A103" s="300" t="s">
        <v>344</v>
      </c>
      <c r="B103" s="301">
        <v>0</v>
      </c>
      <c r="C103" s="301">
        <v>0</v>
      </c>
      <c r="D103" s="301">
        <v>724</v>
      </c>
      <c r="E103" s="301">
        <v>724</v>
      </c>
      <c r="F103" s="301">
        <v>0</v>
      </c>
      <c r="G103" s="477">
        <v>0</v>
      </c>
      <c r="H103" s="477"/>
    </row>
    <row r="104" spans="1:8" x14ac:dyDescent="0.25">
      <c r="A104" s="300" t="s">
        <v>545</v>
      </c>
      <c r="B104" s="301">
        <v>0</v>
      </c>
      <c r="C104" s="301">
        <v>0</v>
      </c>
      <c r="D104" s="301">
        <v>440.2</v>
      </c>
      <c r="E104" s="301">
        <v>440.2</v>
      </c>
      <c r="F104" s="301">
        <v>0</v>
      </c>
      <c r="G104" s="477">
        <v>0</v>
      </c>
      <c r="H104" s="477"/>
    </row>
    <row r="105" spans="1:8" x14ac:dyDescent="0.25">
      <c r="A105" s="300" t="s">
        <v>546</v>
      </c>
      <c r="B105" s="301">
        <v>0</v>
      </c>
      <c r="C105" s="301">
        <v>0</v>
      </c>
      <c r="D105" s="301">
        <v>29.07</v>
      </c>
      <c r="E105" s="301">
        <v>29.07</v>
      </c>
      <c r="F105" s="301">
        <v>0</v>
      </c>
      <c r="G105" s="477">
        <v>0</v>
      </c>
      <c r="H105" s="477"/>
    </row>
    <row r="106" spans="1:8" x14ac:dyDescent="0.25">
      <c r="A106" s="300" t="s">
        <v>345</v>
      </c>
      <c r="B106" s="301">
        <v>0</v>
      </c>
      <c r="C106" s="301">
        <v>66.62</v>
      </c>
      <c r="D106" s="301">
        <v>426.59</v>
      </c>
      <c r="E106" s="301">
        <v>436.71</v>
      </c>
      <c r="F106" s="301">
        <v>0</v>
      </c>
      <c r="G106" s="477">
        <v>76.739999999999995</v>
      </c>
      <c r="H106" s="477"/>
    </row>
    <row r="107" spans="1:8" x14ac:dyDescent="0.25">
      <c r="A107" s="300" t="s">
        <v>346</v>
      </c>
      <c r="B107" s="301">
        <v>724.05</v>
      </c>
      <c r="C107" s="301">
        <v>0</v>
      </c>
      <c r="D107" s="301">
        <v>0</v>
      </c>
      <c r="E107" s="301">
        <v>0</v>
      </c>
      <c r="F107" s="301">
        <v>724.05</v>
      </c>
      <c r="G107" s="477">
        <v>0</v>
      </c>
      <c r="H107" s="477"/>
    </row>
    <row r="108" spans="1:8" x14ac:dyDescent="0.25">
      <c r="A108" s="300" t="s">
        <v>347</v>
      </c>
      <c r="B108" s="301">
        <v>556.07000000000005</v>
      </c>
      <c r="C108" s="301">
        <v>0</v>
      </c>
      <c r="D108" s="301">
        <v>0</v>
      </c>
      <c r="E108" s="301">
        <v>0</v>
      </c>
      <c r="F108" s="301">
        <v>556.07000000000005</v>
      </c>
      <c r="G108" s="477">
        <v>0</v>
      </c>
      <c r="H108" s="477"/>
    </row>
    <row r="109" spans="1:8" x14ac:dyDescent="0.25">
      <c r="A109" s="300" t="s">
        <v>348</v>
      </c>
      <c r="B109" s="301">
        <v>12.48</v>
      </c>
      <c r="C109" s="301">
        <v>0</v>
      </c>
      <c r="D109" s="301">
        <v>0</v>
      </c>
      <c r="E109" s="301">
        <v>0</v>
      </c>
      <c r="F109" s="301">
        <v>12.48</v>
      </c>
      <c r="G109" s="477">
        <v>0</v>
      </c>
      <c r="H109" s="477"/>
    </row>
    <row r="110" spans="1:8" x14ac:dyDescent="0.25">
      <c r="A110" s="300" t="s">
        <v>561</v>
      </c>
      <c r="B110" s="301">
        <v>0</v>
      </c>
      <c r="C110" s="301">
        <v>0</v>
      </c>
      <c r="D110" s="301">
        <v>46.8</v>
      </c>
      <c r="E110" s="301">
        <v>46.8</v>
      </c>
      <c r="F110" s="301">
        <v>0</v>
      </c>
      <c r="G110" s="477">
        <v>0</v>
      </c>
      <c r="H110" s="477"/>
    </row>
    <row r="111" spans="1:8" x14ac:dyDescent="0.25">
      <c r="A111" s="300" t="s">
        <v>349</v>
      </c>
      <c r="B111" s="301">
        <v>1076</v>
      </c>
      <c r="C111" s="301">
        <v>0</v>
      </c>
      <c r="D111" s="301">
        <v>7810</v>
      </c>
      <c r="E111" s="301">
        <v>8456</v>
      </c>
      <c r="F111" s="301">
        <v>430</v>
      </c>
      <c r="G111" s="477">
        <v>0</v>
      </c>
      <c r="H111" s="477"/>
    </row>
    <row r="112" spans="1:8" x14ac:dyDescent="0.25">
      <c r="A112" s="300" t="s">
        <v>350</v>
      </c>
      <c r="B112" s="301">
        <v>603.5</v>
      </c>
      <c r="C112" s="301">
        <v>0</v>
      </c>
      <c r="D112" s="301">
        <v>21293</v>
      </c>
      <c r="E112" s="301">
        <v>19656</v>
      </c>
      <c r="F112" s="301">
        <v>2240.5</v>
      </c>
      <c r="G112" s="477">
        <v>0</v>
      </c>
      <c r="H112" s="477"/>
    </row>
    <row r="113" spans="1:8" x14ac:dyDescent="0.25">
      <c r="A113" s="300" t="s">
        <v>351</v>
      </c>
      <c r="B113" s="301">
        <v>87.5</v>
      </c>
      <c r="C113" s="301">
        <v>0</v>
      </c>
      <c r="D113" s="301">
        <v>0</v>
      </c>
      <c r="E113" s="301">
        <v>0</v>
      </c>
      <c r="F113" s="301">
        <v>87.5</v>
      </c>
      <c r="G113" s="477">
        <v>0</v>
      </c>
      <c r="H113" s="477"/>
    </row>
    <row r="114" spans="1:8" x14ac:dyDescent="0.25">
      <c r="A114" s="300" t="s">
        <v>352</v>
      </c>
      <c r="B114" s="301">
        <v>0</v>
      </c>
      <c r="C114" s="301">
        <v>0</v>
      </c>
      <c r="D114" s="301">
        <v>965.42</v>
      </c>
      <c r="E114" s="301">
        <v>960.81</v>
      </c>
      <c r="F114" s="301">
        <v>4.6100000000000003</v>
      </c>
      <c r="G114" s="477">
        <v>0</v>
      </c>
      <c r="H114" s="477"/>
    </row>
    <row r="115" spans="1:8" x14ac:dyDescent="0.25">
      <c r="A115" s="300" t="s">
        <v>547</v>
      </c>
      <c r="B115" s="301">
        <v>0</v>
      </c>
      <c r="C115" s="301">
        <v>0</v>
      </c>
      <c r="D115" s="301">
        <v>660</v>
      </c>
      <c r="E115" s="301">
        <v>0</v>
      </c>
      <c r="F115" s="301">
        <v>660</v>
      </c>
      <c r="G115" s="477">
        <v>0</v>
      </c>
      <c r="H115" s="477"/>
    </row>
    <row r="116" spans="1:8" x14ac:dyDescent="0.25">
      <c r="A116" s="300" t="s">
        <v>548</v>
      </c>
      <c r="B116" s="301">
        <v>0</v>
      </c>
      <c r="C116" s="301">
        <v>0</v>
      </c>
      <c r="D116" s="301">
        <v>750</v>
      </c>
      <c r="E116" s="301">
        <v>750</v>
      </c>
      <c r="F116" s="301">
        <v>0</v>
      </c>
      <c r="G116" s="477">
        <v>0</v>
      </c>
      <c r="H116" s="477"/>
    </row>
    <row r="117" spans="1:8" x14ac:dyDescent="0.25">
      <c r="A117" s="300" t="s">
        <v>549</v>
      </c>
      <c r="B117" s="301">
        <v>0</v>
      </c>
      <c r="C117" s="301">
        <v>0</v>
      </c>
      <c r="D117" s="301">
        <v>1066.68</v>
      </c>
      <c r="E117" s="301">
        <v>1066.68</v>
      </c>
      <c r="F117" s="301">
        <v>0</v>
      </c>
      <c r="G117" s="477">
        <v>0</v>
      </c>
      <c r="H117" s="477"/>
    </row>
    <row r="118" spans="1:8" x14ac:dyDescent="0.25">
      <c r="A118" s="300" t="s">
        <v>550</v>
      </c>
      <c r="B118" s="301">
        <v>0</v>
      </c>
      <c r="C118" s="301">
        <v>0</v>
      </c>
      <c r="D118" s="301">
        <v>69.2</v>
      </c>
      <c r="E118" s="301">
        <v>69.2</v>
      </c>
      <c r="F118" s="301">
        <v>0</v>
      </c>
      <c r="G118" s="477">
        <v>0</v>
      </c>
      <c r="H118" s="477"/>
    </row>
    <row r="119" spans="1:8" x14ac:dyDescent="0.25">
      <c r="A119" s="391" t="s">
        <v>353</v>
      </c>
      <c r="B119" s="390">
        <v>31796.5</v>
      </c>
      <c r="C119" s="390">
        <v>0</v>
      </c>
      <c r="D119" s="390">
        <v>0</v>
      </c>
      <c r="E119" s="390">
        <v>0</v>
      </c>
      <c r="F119" s="390">
        <v>31796.5</v>
      </c>
      <c r="G119" s="489">
        <v>0</v>
      </c>
      <c r="H119" s="489"/>
    </row>
    <row r="120" spans="1:8" x14ac:dyDescent="0.25">
      <c r="A120" s="300" t="s">
        <v>354</v>
      </c>
      <c r="B120" s="301">
        <v>31796.5</v>
      </c>
      <c r="C120" s="301">
        <v>0</v>
      </c>
      <c r="D120" s="301">
        <v>0</v>
      </c>
      <c r="E120" s="301">
        <v>0</v>
      </c>
      <c r="F120" s="301">
        <v>31796.5</v>
      </c>
      <c r="G120" s="477">
        <v>0</v>
      </c>
      <c r="H120" s="477"/>
    </row>
    <row r="121" spans="1:8" x14ac:dyDescent="0.25">
      <c r="A121" s="391" t="s">
        <v>355</v>
      </c>
      <c r="B121" s="390">
        <v>78101.97</v>
      </c>
      <c r="C121" s="390">
        <v>0</v>
      </c>
      <c r="D121" s="390">
        <v>20276.72</v>
      </c>
      <c r="E121" s="390">
        <v>26851.7</v>
      </c>
      <c r="F121" s="390">
        <v>71526.990000000005</v>
      </c>
      <c r="G121" s="489">
        <v>0</v>
      </c>
      <c r="H121" s="489"/>
    </row>
    <row r="122" spans="1:8" x14ac:dyDescent="0.25">
      <c r="A122" s="300" t="s">
        <v>356</v>
      </c>
      <c r="B122" s="301">
        <v>181.5</v>
      </c>
      <c r="C122" s="301">
        <v>0</v>
      </c>
      <c r="D122" s="301">
        <v>159.61000000000001</v>
      </c>
      <c r="E122" s="301">
        <v>0</v>
      </c>
      <c r="F122" s="301">
        <v>341.11</v>
      </c>
      <c r="G122" s="477">
        <v>0</v>
      </c>
      <c r="H122" s="477"/>
    </row>
    <row r="123" spans="1:8" x14ac:dyDescent="0.25">
      <c r="A123" s="300" t="s">
        <v>357</v>
      </c>
      <c r="B123" s="301">
        <v>77920.47</v>
      </c>
      <c r="C123" s="301">
        <v>0</v>
      </c>
      <c r="D123" s="301">
        <v>0</v>
      </c>
      <c r="E123" s="301">
        <v>6734.59</v>
      </c>
      <c r="F123" s="301">
        <v>71185.88</v>
      </c>
      <c r="G123" s="477">
        <v>0</v>
      </c>
      <c r="H123" s="477"/>
    </row>
    <row r="124" spans="1:8" x14ac:dyDescent="0.25">
      <c r="A124" s="300" t="s">
        <v>358</v>
      </c>
      <c r="B124" s="301">
        <v>0</v>
      </c>
      <c r="C124" s="301">
        <v>0</v>
      </c>
      <c r="D124" s="301">
        <v>20117.11</v>
      </c>
      <c r="E124" s="301">
        <v>20117.11</v>
      </c>
      <c r="F124" s="301">
        <v>0</v>
      </c>
      <c r="G124" s="477">
        <v>0</v>
      </c>
      <c r="H124" s="477"/>
    </row>
    <row r="125" spans="1:8" x14ac:dyDescent="0.25">
      <c r="A125" s="300" t="s">
        <v>359</v>
      </c>
      <c r="B125" s="301">
        <v>0</v>
      </c>
      <c r="C125" s="301">
        <v>0</v>
      </c>
      <c r="D125" s="301">
        <v>0</v>
      </c>
      <c r="E125" s="301">
        <v>0</v>
      </c>
      <c r="F125" s="301">
        <v>0</v>
      </c>
      <c r="G125" s="477">
        <v>0</v>
      </c>
      <c r="H125" s="477"/>
    </row>
    <row r="126" spans="1:8" x14ac:dyDescent="0.25">
      <c r="A126" s="391" t="s">
        <v>360</v>
      </c>
      <c r="B126" s="390">
        <v>1000000</v>
      </c>
      <c r="C126" s="390">
        <v>0</v>
      </c>
      <c r="D126" s="390">
        <v>0</v>
      </c>
      <c r="E126" s="390">
        <v>100000</v>
      </c>
      <c r="F126" s="390">
        <v>900000</v>
      </c>
      <c r="G126" s="489">
        <v>0</v>
      </c>
      <c r="H126" s="489"/>
    </row>
    <row r="127" spans="1:8" x14ac:dyDescent="0.25">
      <c r="A127" s="391" t="s">
        <v>361</v>
      </c>
      <c r="B127" s="390">
        <v>1000000</v>
      </c>
      <c r="C127" s="390">
        <v>0</v>
      </c>
      <c r="D127" s="390">
        <v>0</v>
      </c>
      <c r="E127" s="390">
        <v>100000</v>
      </c>
      <c r="F127" s="390">
        <v>900000</v>
      </c>
      <c r="G127" s="489">
        <v>0</v>
      </c>
      <c r="H127" s="489"/>
    </row>
    <row r="128" spans="1:8" x14ac:dyDescent="0.25">
      <c r="A128" s="391" t="s">
        <v>362</v>
      </c>
      <c r="B128" s="390">
        <v>1000000</v>
      </c>
      <c r="C128" s="390">
        <v>0</v>
      </c>
      <c r="D128" s="390">
        <v>0</v>
      </c>
      <c r="E128" s="390">
        <v>100000</v>
      </c>
      <c r="F128" s="390">
        <v>900000</v>
      </c>
      <c r="G128" s="489">
        <v>0</v>
      </c>
      <c r="H128" s="489"/>
    </row>
    <row r="129" spans="1:8" x14ac:dyDescent="0.25">
      <c r="A129" s="474" t="s">
        <v>363</v>
      </c>
      <c r="B129" s="390">
        <v>1000000</v>
      </c>
      <c r="C129" s="390">
        <v>0</v>
      </c>
      <c r="D129" s="390">
        <v>0</v>
      </c>
      <c r="E129" s="390">
        <v>100000</v>
      </c>
      <c r="F129" s="390">
        <v>900000</v>
      </c>
      <c r="G129" s="476">
        <v>0</v>
      </c>
      <c r="H129" s="476"/>
    </row>
    <row r="130" spans="1:8" x14ac:dyDescent="0.25">
      <c r="A130" s="475"/>
      <c r="B130" s="393"/>
      <c r="C130" s="393"/>
      <c r="D130" s="393"/>
      <c r="E130" s="393"/>
      <c r="F130" s="393"/>
      <c r="G130" s="393"/>
      <c r="H130" s="393"/>
    </row>
    <row r="131" spans="1:8" x14ac:dyDescent="0.25">
      <c r="A131" s="300" t="s">
        <v>364</v>
      </c>
      <c r="B131" s="301">
        <v>1000000</v>
      </c>
      <c r="C131" s="301">
        <v>0</v>
      </c>
      <c r="D131" s="301">
        <v>0</v>
      </c>
      <c r="E131" s="301">
        <v>100000</v>
      </c>
      <c r="F131" s="301">
        <v>900000</v>
      </c>
      <c r="G131" s="477">
        <v>0</v>
      </c>
      <c r="H131" s="477"/>
    </row>
    <row r="132" spans="1:8" x14ac:dyDescent="0.25">
      <c r="A132" s="391" t="s">
        <v>365</v>
      </c>
      <c r="B132" s="390">
        <v>130514.54</v>
      </c>
      <c r="C132" s="390">
        <v>0</v>
      </c>
      <c r="D132" s="390">
        <v>932747.61</v>
      </c>
      <c r="E132" s="390">
        <v>886728.14</v>
      </c>
      <c r="F132" s="390">
        <v>176534.01</v>
      </c>
      <c r="G132" s="489">
        <v>0</v>
      </c>
      <c r="H132" s="489"/>
    </row>
    <row r="133" spans="1:8" x14ac:dyDescent="0.25">
      <c r="A133" s="391" t="s">
        <v>366</v>
      </c>
      <c r="B133" s="390">
        <v>130514.54</v>
      </c>
      <c r="C133" s="390">
        <v>0</v>
      </c>
      <c r="D133" s="390">
        <v>904576.51</v>
      </c>
      <c r="E133" s="390">
        <v>858254.34</v>
      </c>
      <c r="F133" s="390">
        <v>176836.71</v>
      </c>
      <c r="G133" s="489">
        <v>0</v>
      </c>
      <c r="H133" s="489"/>
    </row>
    <row r="134" spans="1:8" x14ac:dyDescent="0.25">
      <c r="A134" s="300" t="s">
        <v>367</v>
      </c>
      <c r="B134" s="301">
        <v>0</v>
      </c>
      <c r="C134" s="301">
        <v>0</v>
      </c>
      <c r="D134" s="301">
        <v>0</v>
      </c>
      <c r="E134" s="301">
        <v>0</v>
      </c>
      <c r="F134" s="301">
        <v>0</v>
      </c>
      <c r="G134" s="477">
        <v>0</v>
      </c>
      <c r="H134" s="477"/>
    </row>
    <row r="135" spans="1:8" x14ac:dyDescent="0.25">
      <c r="A135" s="300" t="s">
        <v>368</v>
      </c>
      <c r="B135" s="301">
        <v>0</v>
      </c>
      <c r="C135" s="301">
        <v>0</v>
      </c>
      <c r="D135" s="301">
        <v>24943.33</v>
      </c>
      <c r="E135" s="301">
        <v>24943.33</v>
      </c>
      <c r="F135" s="301">
        <v>0</v>
      </c>
      <c r="G135" s="477">
        <v>0</v>
      </c>
      <c r="H135" s="477"/>
    </row>
    <row r="136" spans="1:8" x14ac:dyDescent="0.25">
      <c r="A136" s="300" t="s">
        <v>369</v>
      </c>
      <c r="B136" s="301">
        <v>61621.27</v>
      </c>
      <c r="C136" s="301">
        <v>0</v>
      </c>
      <c r="D136" s="301">
        <v>726122.88</v>
      </c>
      <c r="E136" s="301">
        <v>693263.29</v>
      </c>
      <c r="F136" s="301">
        <v>94480.86</v>
      </c>
      <c r="G136" s="477">
        <v>0</v>
      </c>
      <c r="H136" s="477"/>
    </row>
    <row r="137" spans="1:8" x14ac:dyDescent="0.25">
      <c r="A137" s="300" t="s">
        <v>370</v>
      </c>
      <c r="B137" s="301">
        <v>5552.9</v>
      </c>
      <c r="C137" s="301">
        <v>0</v>
      </c>
      <c r="D137" s="301">
        <v>29375.79</v>
      </c>
      <c r="E137" s="301">
        <v>32790.42</v>
      </c>
      <c r="F137" s="301">
        <v>2138.27</v>
      </c>
      <c r="G137" s="477">
        <v>0</v>
      </c>
      <c r="H137" s="477"/>
    </row>
    <row r="138" spans="1:8" x14ac:dyDescent="0.25">
      <c r="A138" s="300" t="s">
        <v>371</v>
      </c>
      <c r="B138" s="301">
        <v>0.04</v>
      </c>
      <c r="C138" s="301">
        <v>0</v>
      </c>
      <c r="D138" s="301">
        <v>0</v>
      </c>
      <c r="E138" s="301">
        <v>0</v>
      </c>
      <c r="F138" s="301">
        <v>0.04</v>
      </c>
      <c r="G138" s="477">
        <v>0</v>
      </c>
      <c r="H138" s="477"/>
    </row>
    <row r="139" spans="1:8" x14ac:dyDescent="0.25">
      <c r="A139" s="300" t="s">
        <v>372</v>
      </c>
      <c r="B139" s="301">
        <v>1540.09</v>
      </c>
      <c r="C139" s="301">
        <v>0</v>
      </c>
      <c r="D139" s="301">
        <v>16180.54</v>
      </c>
      <c r="E139" s="301">
        <v>6380.09</v>
      </c>
      <c r="F139" s="301">
        <v>11340.54</v>
      </c>
      <c r="G139" s="490">
        <v>0</v>
      </c>
      <c r="H139" s="490"/>
    </row>
    <row r="140" spans="1:8" x14ac:dyDescent="0.25">
      <c r="A140" s="393"/>
      <c r="B140" s="393"/>
      <c r="C140" s="393"/>
      <c r="D140" s="393"/>
      <c r="E140" s="393"/>
      <c r="F140" s="393"/>
      <c r="G140" s="393"/>
      <c r="H140" s="393"/>
    </row>
    <row r="141" spans="1:8" x14ac:dyDescent="0.25">
      <c r="A141" s="302" t="s">
        <v>267</v>
      </c>
      <c r="B141" s="479" t="s">
        <v>268</v>
      </c>
      <c r="C141" s="479"/>
      <c r="D141" s="479"/>
      <c r="E141" s="479"/>
      <c r="F141" s="479"/>
      <c r="G141" s="393"/>
      <c r="H141" s="393"/>
    </row>
    <row r="142" spans="1:8" x14ac:dyDescent="0.25">
      <c r="A142" s="302" t="s">
        <v>633</v>
      </c>
      <c r="B142" s="480" t="s">
        <v>269</v>
      </c>
      <c r="C142" s="480"/>
      <c r="D142" s="480"/>
      <c r="E142" s="480"/>
      <c r="F142" s="480"/>
      <c r="G142" s="302" t="s">
        <v>551</v>
      </c>
      <c r="H142" s="393"/>
    </row>
    <row r="143" spans="1:8" x14ac:dyDescent="0.25">
      <c r="A143" s="481" t="s">
        <v>271</v>
      </c>
      <c r="B143" s="481"/>
      <c r="C143" s="481"/>
      <c r="D143" s="481"/>
      <c r="E143" s="481"/>
      <c r="F143" s="481"/>
      <c r="G143" s="481"/>
      <c r="H143" s="481"/>
    </row>
    <row r="144" spans="1:8" x14ac:dyDescent="0.25">
      <c r="A144" s="393"/>
      <c r="B144" s="393"/>
      <c r="C144" s="393"/>
      <c r="D144" s="393"/>
      <c r="E144" s="393"/>
      <c r="F144" s="393"/>
      <c r="G144" s="393"/>
      <c r="H144" s="393"/>
    </row>
    <row r="145" spans="1:8" x14ac:dyDescent="0.25">
      <c r="A145" s="482" t="s">
        <v>272</v>
      </c>
      <c r="B145" s="484" t="s">
        <v>273</v>
      </c>
      <c r="C145" s="484"/>
      <c r="D145" s="484" t="s">
        <v>274</v>
      </c>
      <c r="E145" s="484"/>
      <c r="F145" s="484" t="s">
        <v>275</v>
      </c>
      <c r="G145" s="484"/>
      <c r="H145" s="485"/>
    </row>
    <row r="146" spans="1:8" x14ac:dyDescent="0.25">
      <c r="A146" s="483"/>
      <c r="B146" s="389" t="s">
        <v>276</v>
      </c>
      <c r="C146" s="389" t="s">
        <v>277</v>
      </c>
      <c r="D146" s="389" t="s">
        <v>276</v>
      </c>
      <c r="E146" s="389" t="s">
        <v>277</v>
      </c>
      <c r="F146" s="389" t="s">
        <v>276</v>
      </c>
      <c r="G146" s="492" t="s">
        <v>277</v>
      </c>
      <c r="H146" s="493"/>
    </row>
    <row r="147" spans="1:8" x14ac:dyDescent="0.25">
      <c r="A147" s="300" t="s">
        <v>373</v>
      </c>
      <c r="B147" s="301">
        <v>34959.57</v>
      </c>
      <c r="C147" s="301">
        <v>0</v>
      </c>
      <c r="D147" s="301">
        <v>100406.47</v>
      </c>
      <c r="E147" s="301">
        <v>81281.820000000007</v>
      </c>
      <c r="F147" s="301">
        <v>54084.22</v>
      </c>
      <c r="G147" s="491">
        <v>0</v>
      </c>
      <c r="H147" s="491"/>
    </row>
    <row r="148" spans="1:8" x14ac:dyDescent="0.25">
      <c r="A148" s="300" t="s">
        <v>374</v>
      </c>
      <c r="B148" s="301">
        <v>23916.34</v>
      </c>
      <c r="C148" s="301">
        <v>0</v>
      </c>
      <c r="D148" s="301">
        <v>7537.5</v>
      </c>
      <c r="E148" s="301">
        <v>16667.259999999998</v>
      </c>
      <c r="F148" s="301">
        <v>14786.58</v>
      </c>
      <c r="G148" s="477">
        <v>0</v>
      </c>
      <c r="H148" s="477"/>
    </row>
    <row r="149" spans="1:8" x14ac:dyDescent="0.25">
      <c r="A149" s="300" t="s">
        <v>375</v>
      </c>
      <c r="B149" s="301">
        <v>2923.35</v>
      </c>
      <c r="C149" s="301">
        <v>0</v>
      </c>
      <c r="D149" s="301">
        <v>0</v>
      </c>
      <c r="E149" s="301">
        <v>2923.35</v>
      </c>
      <c r="F149" s="301">
        <v>0</v>
      </c>
      <c r="G149" s="477">
        <v>0</v>
      </c>
      <c r="H149" s="477"/>
    </row>
    <row r="150" spans="1:8" x14ac:dyDescent="0.25">
      <c r="A150" s="300" t="s">
        <v>376</v>
      </c>
      <c r="B150" s="301">
        <v>0.22</v>
      </c>
      <c r="C150" s="301">
        <v>0</v>
      </c>
      <c r="D150" s="301">
        <v>0</v>
      </c>
      <c r="E150" s="301">
        <v>0.22</v>
      </c>
      <c r="F150" s="301">
        <v>0</v>
      </c>
      <c r="G150" s="477">
        <v>0</v>
      </c>
      <c r="H150" s="477"/>
    </row>
    <row r="151" spans="1:8" x14ac:dyDescent="0.25">
      <c r="A151" s="300" t="s">
        <v>377</v>
      </c>
      <c r="B151" s="301">
        <v>0.76</v>
      </c>
      <c r="C151" s="301">
        <v>0</v>
      </c>
      <c r="D151" s="301">
        <v>10</v>
      </c>
      <c r="E151" s="301">
        <v>4.5599999999999996</v>
      </c>
      <c r="F151" s="301">
        <v>6.2</v>
      </c>
      <c r="G151" s="477">
        <v>0</v>
      </c>
      <c r="H151" s="477"/>
    </row>
    <row r="152" spans="1:8" x14ac:dyDescent="0.25">
      <c r="A152" s="391" t="s">
        <v>378</v>
      </c>
      <c r="B152" s="390">
        <v>0</v>
      </c>
      <c r="C152" s="390">
        <v>0</v>
      </c>
      <c r="D152" s="390">
        <v>28171.1</v>
      </c>
      <c r="E152" s="390">
        <v>28473.8</v>
      </c>
      <c r="F152" s="390">
        <v>0</v>
      </c>
      <c r="G152" s="489">
        <v>302.7</v>
      </c>
      <c r="H152" s="489"/>
    </row>
    <row r="153" spans="1:8" x14ac:dyDescent="0.25">
      <c r="A153" s="300" t="s">
        <v>379</v>
      </c>
      <c r="B153" s="301">
        <v>0</v>
      </c>
      <c r="C153" s="301">
        <v>0</v>
      </c>
      <c r="D153" s="301">
        <v>28171.1</v>
      </c>
      <c r="E153" s="301">
        <v>28473.8</v>
      </c>
      <c r="F153" s="301">
        <v>0</v>
      </c>
      <c r="G153" s="477">
        <v>302.7</v>
      </c>
      <c r="H153" s="477"/>
    </row>
    <row r="154" spans="1:8" x14ac:dyDescent="0.25">
      <c r="A154" s="391" t="s">
        <v>380</v>
      </c>
      <c r="B154" s="390">
        <v>1218.25</v>
      </c>
      <c r="C154" s="390">
        <v>0</v>
      </c>
      <c r="D154" s="390">
        <v>57156.959999999999</v>
      </c>
      <c r="E154" s="390">
        <v>37438</v>
      </c>
      <c r="F154" s="390">
        <v>20937.21</v>
      </c>
      <c r="G154" s="489">
        <v>0</v>
      </c>
      <c r="H154" s="489"/>
    </row>
    <row r="155" spans="1:8" x14ac:dyDescent="0.25">
      <c r="A155" s="300" t="s">
        <v>381</v>
      </c>
      <c r="B155" s="301">
        <v>1218.25</v>
      </c>
      <c r="C155" s="301">
        <v>0</v>
      </c>
      <c r="D155" s="301">
        <v>57156.959999999999</v>
      </c>
      <c r="E155" s="301">
        <v>37438</v>
      </c>
      <c r="F155" s="301">
        <v>20937.21</v>
      </c>
      <c r="G155" s="477">
        <v>0</v>
      </c>
      <c r="H155" s="477"/>
    </row>
    <row r="156" spans="1:8" x14ac:dyDescent="0.25">
      <c r="A156" s="391" t="s">
        <v>382</v>
      </c>
      <c r="B156" s="390">
        <v>0</v>
      </c>
      <c r="C156" s="390">
        <v>3799469.11</v>
      </c>
      <c r="D156" s="390">
        <v>407610.49</v>
      </c>
      <c r="E156" s="390">
        <v>300566.03000000003</v>
      </c>
      <c r="F156" s="390">
        <v>0</v>
      </c>
      <c r="G156" s="489">
        <v>3692424.65</v>
      </c>
      <c r="H156" s="489"/>
    </row>
    <row r="157" spans="1:8" x14ac:dyDescent="0.25">
      <c r="A157" s="391" t="s">
        <v>383</v>
      </c>
      <c r="B157" s="390">
        <v>0</v>
      </c>
      <c r="C157" s="390">
        <v>1013245.72</v>
      </c>
      <c r="D157" s="390">
        <v>406665.49</v>
      </c>
      <c r="E157" s="390">
        <v>299449.15000000002</v>
      </c>
      <c r="F157" s="390">
        <v>0</v>
      </c>
      <c r="G157" s="489">
        <v>906029.38</v>
      </c>
      <c r="H157" s="489"/>
    </row>
    <row r="158" spans="1:8" x14ac:dyDescent="0.25">
      <c r="A158" s="391" t="s">
        <v>384</v>
      </c>
      <c r="B158" s="390">
        <v>0</v>
      </c>
      <c r="C158" s="390">
        <v>3855.72</v>
      </c>
      <c r="D158" s="390">
        <v>219270</v>
      </c>
      <c r="E158" s="390">
        <v>284000</v>
      </c>
      <c r="F158" s="390">
        <v>0</v>
      </c>
      <c r="G158" s="489">
        <v>68585.72</v>
      </c>
      <c r="H158" s="489"/>
    </row>
    <row r="159" spans="1:8" x14ac:dyDescent="0.25">
      <c r="A159" s="300" t="s">
        <v>385</v>
      </c>
      <c r="B159" s="301">
        <v>0</v>
      </c>
      <c r="C159" s="301">
        <v>600</v>
      </c>
      <c r="D159" s="301">
        <v>0</v>
      </c>
      <c r="E159" s="301">
        <v>2810</v>
      </c>
      <c r="F159" s="301">
        <v>0</v>
      </c>
      <c r="G159" s="477">
        <v>3410</v>
      </c>
      <c r="H159" s="477"/>
    </row>
    <row r="160" spans="1:8" x14ac:dyDescent="0.25">
      <c r="A160" s="474" t="s">
        <v>386</v>
      </c>
      <c r="B160" s="390">
        <v>0</v>
      </c>
      <c r="C160" s="390">
        <v>3255.72</v>
      </c>
      <c r="D160" s="390">
        <v>219270</v>
      </c>
      <c r="E160" s="390">
        <v>281190</v>
      </c>
      <c r="F160" s="390">
        <v>0</v>
      </c>
      <c r="G160" s="476">
        <v>65175.72</v>
      </c>
      <c r="H160" s="476"/>
    </row>
    <row r="161" spans="1:8" x14ac:dyDescent="0.25">
      <c r="A161" s="475"/>
      <c r="B161" s="393"/>
      <c r="C161" s="393"/>
      <c r="D161" s="393"/>
      <c r="E161" s="393"/>
      <c r="F161" s="393"/>
      <c r="G161" s="393"/>
      <c r="H161" s="393"/>
    </row>
    <row r="162" spans="1:8" x14ac:dyDescent="0.25">
      <c r="A162" s="300" t="s">
        <v>387</v>
      </c>
      <c r="B162" s="301">
        <v>0</v>
      </c>
      <c r="C162" s="301">
        <v>3255.72</v>
      </c>
      <c r="D162" s="301">
        <v>219270</v>
      </c>
      <c r="E162" s="301">
        <v>281190</v>
      </c>
      <c r="F162" s="301">
        <v>0</v>
      </c>
      <c r="G162" s="477">
        <v>65175.72</v>
      </c>
      <c r="H162" s="477"/>
    </row>
    <row r="163" spans="1:8" x14ac:dyDescent="0.25">
      <c r="A163" s="391" t="s">
        <v>388</v>
      </c>
      <c r="B163" s="390">
        <v>0</v>
      </c>
      <c r="C163" s="390">
        <v>1009390</v>
      </c>
      <c r="D163" s="390">
        <v>187395.49</v>
      </c>
      <c r="E163" s="390">
        <v>14840.43</v>
      </c>
      <c r="F163" s="390">
        <v>0</v>
      </c>
      <c r="G163" s="489">
        <v>836834.94</v>
      </c>
      <c r="H163" s="489"/>
    </row>
    <row r="164" spans="1:8" x14ac:dyDescent="0.25">
      <c r="A164" s="300" t="s">
        <v>389</v>
      </c>
      <c r="B164" s="301">
        <v>0</v>
      </c>
      <c r="C164" s="301">
        <v>1020789.73</v>
      </c>
      <c r="D164" s="301">
        <v>187395.49</v>
      </c>
      <c r="E164" s="301">
        <v>14840.43</v>
      </c>
      <c r="F164" s="301">
        <v>0</v>
      </c>
      <c r="G164" s="477">
        <v>848234.67</v>
      </c>
      <c r="H164" s="477"/>
    </row>
    <row r="165" spans="1:8" x14ac:dyDescent="0.25">
      <c r="A165" s="487" t="s">
        <v>390</v>
      </c>
      <c r="B165" s="301">
        <v>11399.73</v>
      </c>
      <c r="C165" s="301">
        <v>0</v>
      </c>
      <c r="D165" s="301">
        <v>0</v>
      </c>
      <c r="E165" s="301">
        <v>0</v>
      </c>
      <c r="F165" s="301">
        <v>11399.73</v>
      </c>
      <c r="G165" s="490">
        <v>0</v>
      </c>
      <c r="H165" s="490"/>
    </row>
    <row r="166" spans="1:8" x14ac:dyDescent="0.25">
      <c r="A166" s="488"/>
      <c r="B166" s="393"/>
      <c r="C166" s="393"/>
      <c r="D166" s="393"/>
      <c r="E166" s="393"/>
      <c r="F166" s="393"/>
      <c r="G166" s="393"/>
      <c r="H166" s="393"/>
    </row>
    <row r="167" spans="1:8" x14ac:dyDescent="0.25">
      <c r="A167" s="391" t="s">
        <v>562</v>
      </c>
      <c r="B167" s="390">
        <v>0</v>
      </c>
      <c r="C167" s="390">
        <v>0</v>
      </c>
      <c r="D167" s="390">
        <v>0</v>
      </c>
      <c r="E167" s="390">
        <v>608.72</v>
      </c>
      <c r="F167" s="390">
        <v>0</v>
      </c>
      <c r="G167" s="489">
        <v>608.72</v>
      </c>
      <c r="H167" s="489"/>
    </row>
    <row r="168" spans="1:8" x14ac:dyDescent="0.25">
      <c r="A168" s="300" t="s">
        <v>563</v>
      </c>
      <c r="B168" s="301">
        <v>0</v>
      </c>
      <c r="C168" s="301">
        <v>0</v>
      </c>
      <c r="D168" s="301">
        <v>0</v>
      </c>
      <c r="E168" s="301">
        <v>608.72</v>
      </c>
      <c r="F168" s="301">
        <v>0</v>
      </c>
      <c r="G168" s="477">
        <v>608.72</v>
      </c>
      <c r="H168" s="477"/>
    </row>
    <row r="169" spans="1:8" x14ac:dyDescent="0.25">
      <c r="A169" s="474" t="s">
        <v>391</v>
      </c>
      <c r="B169" s="390">
        <v>0</v>
      </c>
      <c r="C169" s="390">
        <v>2786223.39</v>
      </c>
      <c r="D169" s="390">
        <v>945</v>
      </c>
      <c r="E169" s="390">
        <v>1116.8800000000001</v>
      </c>
      <c r="F169" s="390">
        <v>0</v>
      </c>
      <c r="G169" s="476">
        <v>2786395.27</v>
      </c>
      <c r="H169" s="476"/>
    </row>
    <row r="170" spans="1:8" x14ac:dyDescent="0.25">
      <c r="A170" s="475"/>
      <c r="B170" s="393"/>
      <c r="C170" s="393"/>
      <c r="D170" s="393"/>
      <c r="E170" s="393"/>
      <c r="F170" s="393"/>
      <c r="G170" s="393"/>
      <c r="H170" s="393"/>
    </row>
    <row r="171" spans="1:8" x14ac:dyDescent="0.25">
      <c r="A171" s="474" t="s">
        <v>392</v>
      </c>
      <c r="B171" s="390">
        <v>0</v>
      </c>
      <c r="C171" s="390">
        <v>2476400.13</v>
      </c>
      <c r="D171" s="390">
        <v>0</v>
      </c>
      <c r="E171" s="390">
        <v>0</v>
      </c>
      <c r="F171" s="390">
        <v>0</v>
      </c>
      <c r="G171" s="476">
        <v>2476400.13</v>
      </c>
      <c r="H171" s="476"/>
    </row>
    <row r="172" spans="1:8" x14ac:dyDescent="0.25">
      <c r="A172" s="475"/>
      <c r="B172" s="393"/>
      <c r="C172" s="393"/>
      <c r="D172" s="393"/>
      <c r="E172" s="393"/>
      <c r="F172" s="393"/>
      <c r="G172" s="393"/>
      <c r="H172" s="393"/>
    </row>
    <row r="173" spans="1:8" x14ac:dyDescent="0.25">
      <c r="A173" s="300" t="s">
        <v>393</v>
      </c>
      <c r="B173" s="301">
        <v>0</v>
      </c>
      <c r="C173" s="301">
        <v>3107272.57</v>
      </c>
      <c r="D173" s="301">
        <v>0</v>
      </c>
      <c r="E173" s="301">
        <v>0</v>
      </c>
      <c r="F173" s="301">
        <v>0</v>
      </c>
      <c r="G173" s="477">
        <v>3107272.57</v>
      </c>
      <c r="H173" s="477"/>
    </row>
    <row r="174" spans="1:8" x14ac:dyDescent="0.25">
      <c r="A174" s="300" t="s">
        <v>394</v>
      </c>
      <c r="B174" s="301">
        <v>630872.43999999994</v>
      </c>
      <c r="C174" s="301">
        <v>0</v>
      </c>
      <c r="D174" s="301">
        <v>0</v>
      </c>
      <c r="E174" s="301">
        <v>0</v>
      </c>
      <c r="F174" s="301">
        <v>630872.43999999994</v>
      </c>
      <c r="G174" s="477">
        <v>0</v>
      </c>
      <c r="H174" s="477"/>
    </row>
    <row r="175" spans="1:8" x14ac:dyDescent="0.25">
      <c r="A175" s="474" t="s">
        <v>395</v>
      </c>
      <c r="B175" s="390">
        <v>0</v>
      </c>
      <c r="C175" s="390">
        <v>309823.26</v>
      </c>
      <c r="D175" s="390">
        <v>945</v>
      </c>
      <c r="E175" s="390">
        <v>1116.8800000000001</v>
      </c>
      <c r="F175" s="390">
        <v>0</v>
      </c>
      <c r="G175" s="476">
        <v>309995.14</v>
      </c>
      <c r="H175" s="476"/>
    </row>
    <row r="176" spans="1:8" x14ac:dyDescent="0.25">
      <c r="A176" s="475"/>
      <c r="B176" s="393"/>
      <c r="C176" s="393"/>
      <c r="D176" s="393"/>
      <c r="E176" s="393"/>
      <c r="F176" s="393"/>
      <c r="G176" s="393"/>
      <c r="H176" s="393"/>
    </row>
    <row r="177" spans="1:8" x14ac:dyDescent="0.25">
      <c r="A177" s="487" t="s">
        <v>396</v>
      </c>
      <c r="B177" s="301">
        <v>0</v>
      </c>
      <c r="C177" s="301">
        <v>566487.06000000006</v>
      </c>
      <c r="D177" s="301">
        <v>0</v>
      </c>
      <c r="E177" s="301">
        <v>1030</v>
      </c>
      <c r="F177" s="301">
        <v>0</v>
      </c>
      <c r="G177" s="490">
        <v>567517.06000000006</v>
      </c>
      <c r="H177" s="490"/>
    </row>
    <row r="178" spans="1:8" x14ac:dyDescent="0.25">
      <c r="A178" s="488"/>
      <c r="B178" s="393"/>
      <c r="C178" s="393"/>
      <c r="D178" s="393"/>
      <c r="E178" s="393"/>
      <c r="F178" s="393"/>
      <c r="G178" s="393"/>
      <c r="H178" s="393"/>
    </row>
    <row r="179" spans="1:8" x14ac:dyDescent="0.25">
      <c r="A179" s="487" t="s">
        <v>397</v>
      </c>
      <c r="B179" s="301">
        <v>256663.8</v>
      </c>
      <c r="C179" s="301">
        <v>0</v>
      </c>
      <c r="D179" s="301">
        <v>945</v>
      </c>
      <c r="E179" s="301">
        <v>86.88</v>
      </c>
      <c r="F179" s="301">
        <v>257521.92000000001</v>
      </c>
      <c r="G179" s="490">
        <v>0</v>
      </c>
      <c r="H179" s="490"/>
    </row>
    <row r="180" spans="1:8" x14ac:dyDescent="0.25">
      <c r="A180" s="488"/>
      <c r="B180" s="393"/>
      <c r="C180" s="393"/>
      <c r="D180" s="393"/>
      <c r="E180" s="393"/>
      <c r="F180" s="393"/>
      <c r="G180" s="393"/>
      <c r="H180" s="393"/>
    </row>
    <row r="181" spans="1:8" x14ac:dyDescent="0.25">
      <c r="A181" s="474" t="s">
        <v>398</v>
      </c>
      <c r="B181" s="390">
        <v>0</v>
      </c>
      <c r="C181" s="390">
        <v>279197.84000000003</v>
      </c>
      <c r="D181" s="390">
        <v>852627.57</v>
      </c>
      <c r="E181" s="390">
        <v>795887.02</v>
      </c>
      <c r="F181" s="390">
        <v>0</v>
      </c>
      <c r="G181" s="476">
        <v>222457.29</v>
      </c>
      <c r="H181" s="476"/>
    </row>
    <row r="182" spans="1:8" x14ac:dyDescent="0.25">
      <c r="A182" s="475"/>
      <c r="B182" s="393"/>
      <c r="C182" s="393"/>
      <c r="D182" s="393"/>
      <c r="E182" s="393"/>
      <c r="F182" s="393"/>
      <c r="G182" s="393"/>
      <c r="H182" s="393"/>
    </row>
    <row r="183" spans="1:8" x14ac:dyDescent="0.25">
      <c r="A183" s="474" t="s">
        <v>399</v>
      </c>
      <c r="B183" s="390">
        <v>0</v>
      </c>
      <c r="C183" s="390">
        <v>24428.17</v>
      </c>
      <c r="D183" s="390">
        <v>0</v>
      </c>
      <c r="E183" s="390">
        <v>40000</v>
      </c>
      <c r="F183" s="390">
        <v>0</v>
      </c>
      <c r="G183" s="476">
        <v>64428.17</v>
      </c>
      <c r="H183" s="476"/>
    </row>
    <row r="184" spans="1:8" x14ac:dyDescent="0.25">
      <c r="A184" s="475"/>
      <c r="B184" s="393"/>
      <c r="C184" s="393"/>
      <c r="D184" s="393"/>
      <c r="E184" s="393"/>
      <c r="F184" s="393"/>
      <c r="G184" s="393"/>
      <c r="H184" s="393"/>
    </row>
    <row r="185" spans="1:8" x14ac:dyDescent="0.25">
      <c r="A185" s="474" t="s">
        <v>400</v>
      </c>
      <c r="B185" s="390">
        <v>0</v>
      </c>
      <c r="C185" s="390">
        <v>22568.17</v>
      </c>
      <c r="D185" s="390">
        <v>0</v>
      </c>
      <c r="E185" s="390">
        <v>0</v>
      </c>
      <c r="F185" s="390">
        <v>0</v>
      </c>
      <c r="G185" s="476">
        <v>22568.17</v>
      </c>
      <c r="H185" s="476"/>
    </row>
    <row r="186" spans="1:8" x14ac:dyDescent="0.25">
      <c r="A186" s="475"/>
      <c r="B186" s="393"/>
      <c r="C186" s="393"/>
      <c r="D186" s="393"/>
      <c r="E186" s="393"/>
      <c r="F186" s="393"/>
      <c r="G186" s="393"/>
      <c r="H186" s="393"/>
    </row>
    <row r="187" spans="1:8" x14ac:dyDescent="0.25">
      <c r="A187" s="474" t="s">
        <v>401</v>
      </c>
      <c r="B187" s="390">
        <v>0</v>
      </c>
      <c r="C187" s="390">
        <v>22568.17</v>
      </c>
      <c r="D187" s="390">
        <v>0</v>
      </c>
      <c r="E187" s="390">
        <v>0</v>
      </c>
      <c r="F187" s="390">
        <v>0</v>
      </c>
      <c r="G187" s="476">
        <v>22568.17</v>
      </c>
      <c r="H187" s="476"/>
    </row>
    <row r="188" spans="1:8" x14ac:dyDescent="0.25">
      <c r="A188" s="475"/>
      <c r="B188" s="393"/>
      <c r="C188" s="393"/>
      <c r="D188" s="393"/>
      <c r="E188" s="393"/>
      <c r="F188" s="393"/>
      <c r="G188" s="393"/>
      <c r="H188" s="393"/>
    </row>
    <row r="189" spans="1:8" x14ac:dyDescent="0.25">
      <c r="A189" s="300" t="s">
        <v>402</v>
      </c>
      <c r="B189" s="301">
        <v>0</v>
      </c>
      <c r="C189" s="301">
        <v>22568.17</v>
      </c>
      <c r="D189" s="301">
        <v>0</v>
      </c>
      <c r="E189" s="301">
        <v>0</v>
      </c>
      <c r="F189" s="301">
        <v>0</v>
      </c>
      <c r="G189" s="477">
        <v>22568.17</v>
      </c>
      <c r="H189" s="477"/>
    </row>
    <row r="190" spans="1:8" x14ac:dyDescent="0.25">
      <c r="A190" s="474" t="s">
        <v>403</v>
      </c>
      <c r="B190" s="390">
        <v>0</v>
      </c>
      <c r="C190" s="390">
        <v>1860</v>
      </c>
      <c r="D190" s="390">
        <v>0</v>
      </c>
      <c r="E190" s="390">
        <v>0</v>
      </c>
      <c r="F190" s="390">
        <v>0</v>
      </c>
      <c r="G190" s="476">
        <v>1860</v>
      </c>
      <c r="H190" s="476"/>
    </row>
    <row r="191" spans="1:8" x14ac:dyDescent="0.25">
      <c r="A191" s="475"/>
      <c r="B191" s="393"/>
      <c r="C191" s="393"/>
      <c r="D191" s="393"/>
      <c r="E191" s="393"/>
      <c r="F191" s="393"/>
      <c r="G191" s="393"/>
      <c r="H191" s="393"/>
    </row>
    <row r="192" spans="1:8" x14ac:dyDescent="0.25">
      <c r="A192" s="300" t="s">
        <v>404</v>
      </c>
      <c r="B192" s="301">
        <v>0</v>
      </c>
      <c r="C192" s="301">
        <v>1860</v>
      </c>
      <c r="D192" s="301">
        <v>0</v>
      </c>
      <c r="E192" s="301">
        <v>0</v>
      </c>
      <c r="F192" s="301">
        <v>0</v>
      </c>
      <c r="G192" s="477">
        <v>1860</v>
      </c>
      <c r="H192" s="477"/>
    </row>
    <row r="193" spans="1:8" x14ac:dyDescent="0.25">
      <c r="A193" s="474" t="s">
        <v>405</v>
      </c>
      <c r="B193" s="390">
        <v>0</v>
      </c>
      <c r="C193" s="390">
        <v>0</v>
      </c>
      <c r="D193" s="390">
        <v>0</v>
      </c>
      <c r="E193" s="390">
        <v>40000</v>
      </c>
      <c r="F193" s="390">
        <v>0</v>
      </c>
      <c r="G193" s="476">
        <v>40000</v>
      </c>
      <c r="H193" s="476"/>
    </row>
    <row r="194" spans="1:8" x14ac:dyDescent="0.25">
      <c r="A194" s="475"/>
      <c r="B194" s="393"/>
      <c r="C194" s="393"/>
      <c r="D194" s="393"/>
      <c r="E194" s="393"/>
      <c r="F194" s="393"/>
      <c r="G194" s="393"/>
      <c r="H194" s="393"/>
    </row>
    <row r="195" spans="1:8" x14ac:dyDescent="0.25">
      <c r="A195" s="300" t="s">
        <v>406</v>
      </c>
      <c r="B195" s="301">
        <v>0</v>
      </c>
      <c r="C195" s="301">
        <v>0</v>
      </c>
      <c r="D195" s="301">
        <v>0</v>
      </c>
      <c r="E195" s="301">
        <v>40000</v>
      </c>
      <c r="F195" s="301">
        <v>0</v>
      </c>
      <c r="G195" s="477">
        <v>40000</v>
      </c>
      <c r="H195" s="477"/>
    </row>
    <row r="196" spans="1:8" x14ac:dyDescent="0.25">
      <c r="A196" s="474" t="s">
        <v>407</v>
      </c>
      <c r="B196" s="390">
        <v>0</v>
      </c>
      <c r="C196" s="390">
        <v>119875.96</v>
      </c>
      <c r="D196" s="390">
        <v>277289.21999999997</v>
      </c>
      <c r="E196" s="390">
        <v>246383.07</v>
      </c>
      <c r="F196" s="390">
        <v>0</v>
      </c>
      <c r="G196" s="476">
        <v>88969.81</v>
      </c>
      <c r="H196" s="476"/>
    </row>
    <row r="197" spans="1:8" x14ac:dyDescent="0.25">
      <c r="A197" s="475"/>
      <c r="B197" s="393"/>
      <c r="C197" s="393"/>
      <c r="D197" s="393"/>
      <c r="E197" s="393"/>
      <c r="F197" s="393"/>
      <c r="G197" s="393"/>
      <c r="H197" s="393"/>
    </row>
    <row r="198" spans="1:8" x14ac:dyDescent="0.25">
      <c r="A198" s="474" t="s">
        <v>408</v>
      </c>
      <c r="B198" s="390">
        <v>0</v>
      </c>
      <c r="C198" s="390">
        <v>119875.96</v>
      </c>
      <c r="D198" s="390">
        <v>277289.21999999997</v>
      </c>
      <c r="E198" s="390">
        <v>246383.07</v>
      </c>
      <c r="F198" s="390">
        <v>0</v>
      </c>
      <c r="G198" s="476">
        <v>88969.81</v>
      </c>
      <c r="H198" s="476"/>
    </row>
    <row r="199" spans="1:8" x14ac:dyDescent="0.25">
      <c r="A199" s="475"/>
      <c r="B199" s="393"/>
      <c r="C199" s="393"/>
      <c r="D199" s="393"/>
      <c r="E199" s="393"/>
      <c r="F199" s="393"/>
      <c r="G199" s="393"/>
      <c r="H199" s="393"/>
    </row>
    <row r="200" spans="1:8" x14ac:dyDescent="0.25">
      <c r="A200" s="474" t="s">
        <v>409</v>
      </c>
      <c r="B200" s="390">
        <v>627.01</v>
      </c>
      <c r="C200" s="390">
        <v>0</v>
      </c>
      <c r="D200" s="390">
        <v>4487.88</v>
      </c>
      <c r="E200" s="390">
        <v>0</v>
      </c>
      <c r="F200" s="390">
        <v>5114.8900000000003</v>
      </c>
      <c r="G200" s="476">
        <v>0</v>
      </c>
      <c r="H200" s="476"/>
    </row>
    <row r="201" spans="1:8" x14ac:dyDescent="0.25">
      <c r="A201" s="475"/>
      <c r="B201" s="393"/>
      <c r="C201" s="393"/>
      <c r="D201" s="393"/>
      <c r="E201" s="393"/>
      <c r="F201" s="393"/>
      <c r="G201" s="393"/>
      <c r="H201" s="393"/>
    </row>
    <row r="202" spans="1:8" x14ac:dyDescent="0.25">
      <c r="A202" s="300" t="s">
        <v>410</v>
      </c>
      <c r="B202" s="301">
        <v>627.01</v>
      </c>
      <c r="C202" s="301">
        <v>0</v>
      </c>
      <c r="D202" s="301">
        <v>4487.88</v>
      </c>
      <c r="E202" s="301">
        <v>0</v>
      </c>
      <c r="F202" s="301">
        <v>5114.8900000000003</v>
      </c>
      <c r="G202" s="477">
        <v>0</v>
      </c>
      <c r="H202" s="477"/>
    </row>
    <row r="203" spans="1:8" x14ac:dyDescent="0.25">
      <c r="A203" s="391" t="s">
        <v>411</v>
      </c>
      <c r="B203" s="390">
        <v>0</v>
      </c>
      <c r="C203" s="390">
        <v>67.31</v>
      </c>
      <c r="D203" s="390">
        <v>0</v>
      </c>
      <c r="E203" s="390">
        <v>0</v>
      </c>
      <c r="F203" s="390">
        <v>0</v>
      </c>
      <c r="G203" s="489">
        <v>67.31</v>
      </c>
      <c r="H203" s="489"/>
    </row>
    <row r="204" spans="1:8" x14ac:dyDescent="0.25">
      <c r="A204" s="300" t="s">
        <v>412</v>
      </c>
      <c r="B204" s="301">
        <v>0</v>
      </c>
      <c r="C204" s="301">
        <v>67.31</v>
      </c>
      <c r="D204" s="301">
        <v>0</v>
      </c>
      <c r="E204" s="301">
        <v>0</v>
      </c>
      <c r="F204" s="301">
        <v>0</v>
      </c>
      <c r="G204" s="477">
        <v>67.31</v>
      </c>
      <c r="H204" s="477"/>
    </row>
    <row r="205" spans="1:8" x14ac:dyDescent="0.25">
      <c r="A205" s="391" t="s">
        <v>413</v>
      </c>
      <c r="B205" s="390">
        <v>0</v>
      </c>
      <c r="C205" s="390">
        <v>120435.66</v>
      </c>
      <c r="D205" s="390">
        <v>272801.34000000003</v>
      </c>
      <c r="E205" s="390">
        <v>246383.07</v>
      </c>
      <c r="F205" s="390">
        <v>0</v>
      </c>
      <c r="G205" s="489">
        <v>94017.39</v>
      </c>
      <c r="H205" s="489"/>
    </row>
    <row r="206" spans="1:8" x14ac:dyDescent="0.25">
      <c r="A206" s="300" t="s">
        <v>414</v>
      </c>
      <c r="B206" s="301">
        <v>0</v>
      </c>
      <c r="C206" s="301">
        <v>134560.94</v>
      </c>
      <c r="D206" s="301">
        <v>247601</v>
      </c>
      <c r="E206" s="301">
        <v>209046.01</v>
      </c>
      <c r="F206" s="301">
        <v>0</v>
      </c>
      <c r="G206" s="477">
        <v>96005.95</v>
      </c>
      <c r="H206" s="477"/>
    </row>
    <row r="207" spans="1:8" x14ac:dyDescent="0.25">
      <c r="A207" s="300" t="s">
        <v>415</v>
      </c>
      <c r="B207" s="301">
        <v>12136.72</v>
      </c>
      <c r="C207" s="301">
        <v>0</v>
      </c>
      <c r="D207" s="301">
        <v>25200.34</v>
      </c>
      <c r="E207" s="301">
        <v>37337.06</v>
      </c>
      <c r="F207" s="301">
        <v>0</v>
      </c>
      <c r="G207" s="477">
        <v>0</v>
      </c>
      <c r="H207" s="477"/>
    </row>
    <row r="208" spans="1:8" x14ac:dyDescent="0.25">
      <c r="A208" s="300" t="s">
        <v>416</v>
      </c>
      <c r="B208" s="301">
        <v>0</v>
      </c>
      <c r="C208" s="301">
        <v>140</v>
      </c>
      <c r="D208" s="301">
        <v>0</v>
      </c>
      <c r="E208" s="301">
        <v>0</v>
      </c>
      <c r="F208" s="301">
        <v>0</v>
      </c>
      <c r="G208" s="477">
        <v>140</v>
      </c>
      <c r="H208" s="477"/>
    </row>
    <row r="209" spans="1:8" x14ac:dyDescent="0.25">
      <c r="A209" s="487" t="s">
        <v>417</v>
      </c>
      <c r="B209" s="301">
        <v>462.72</v>
      </c>
      <c r="C209" s="301">
        <v>0</v>
      </c>
      <c r="D209" s="301">
        <v>0</v>
      </c>
      <c r="E209" s="301">
        <v>0</v>
      </c>
      <c r="F209" s="301">
        <v>462.72</v>
      </c>
      <c r="G209" s="490">
        <v>0</v>
      </c>
      <c r="H209" s="490"/>
    </row>
    <row r="210" spans="1:8" x14ac:dyDescent="0.25">
      <c r="A210" s="478"/>
      <c r="B210" s="393"/>
      <c r="C210" s="393"/>
      <c r="D210" s="393"/>
      <c r="E210" s="393"/>
      <c r="F210" s="393"/>
      <c r="G210" s="393"/>
      <c r="H210" s="393"/>
    </row>
    <row r="211" spans="1:8" x14ac:dyDescent="0.25">
      <c r="A211" s="393"/>
      <c r="B211" s="393"/>
      <c r="C211" s="393"/>
      <c r="D211" s="393"/>
      <c r="E211" s="393"/>
      <c r="F211" s="393"/>
      <c r="G211" s="393"/>
      <c r="H211" s="393"/>
    </row>
    <row r="212" spans="1:8" x14ac:dyDescent="0.25">
      <c r="A212" s="302" t="s">
        <v>267</v>
      </c>
      <c r="B212" s="479" t="s">
        <v>268</v>
      </c>
      <c r="C212" s="479"/>
      <c r="D212" s="479"/>
      <c r="E212" s="479"/>
      <c r="F212" s="479"/>
      <c r="G212" s="393"/>
      <c r="H212" s="393"/>
    </row>
    <row r="213" spans="1:8" x14ac:dyDescent="0.25">
      <c r="A213" s="302" t="s">
        <v>633</v>
      </c>
      <c r="B213" s="480" t="s">
        <v>269</v>
      </c>
      <c r="C213" s="480"/>
      <c r="D213" s="480"/>
      <c r="E213" s="480"/>
      <c r="F213" s="480"/>
      <c r="G213" s="302" t="s">
        <v>552</v>
      </c>
      <c r="H213" s="393"/>
    </row>
    <row r="214" spans="1:8" x14ac:dyDescent="0.25">
      <c r="A214" s="481" t="s">
        <v>271</v>
      </c>
      <c r="B214" s="481"/>
      <c r="C214" s="481"/>
      <c r="D214" s="481"/>
      <c r="E214" s="481"/>
      <c r="F214" s="481"/>
      <c r="G214" s="481"/>
      <c r="H214" s="481"/>
    </row>
    <row r="215" spans="1:8" x14ac:dyDescent="0.25">
      <c r="A215" s="393"/>
      <c r="B215" s="393"/>
      <c r="C215" s="393"/>
      <c r="D215" s="393"/>
      <c r="E215" s="393"/>
      <c r="F215" s="393"/>
      <c r="G215" s="393"/>
      <c r="H215" s="393"/>
    </row>
    <row r="216" spans="1:8" x14ac:dyDescent="0.25">
      <c r="A216" s="482" t="s">
        <v>272</v>
      </c>
      <c r="B216" s="484" t="s">
        <v>273</v>
      </c>
      <c r="C216" s="484"/>
      <c r="D216" s="484" t="s">
        <v>274</v>
      </c>
      <c r="E216" s="484"/>
      <c r="F216" s="484" t="s">
        <v>275</v>
      </c>
      <c r="G216" s="484"/>
      <c r="H216" s="485"/>
    </row>
    <row r="217" spans="1:8" x14ac:dyDescent="0.25">
      <c r="A217" s="483"/>
      <c r="B217" s="389" t="s">
        <v>276</v>
      </c>
      <c r="C217" s="389" t="s">
        <v>277</v>
      </c>
      <c r="D217" s="389" t="s">
        <v>276</v>
      </c>
      <c r="E217" s="389" t="s">
        <v>277</v>
      </c>
      <c r="F217" s="389" t="s">
        <v>276</v>
      </c>
      <c r="G217" s="492" t="s">
        <v>277</v>
      </c>
      <c r="H217" s="493"/>
    </row>
    <row r="218" spans="1:8" x14ac:dyDescent="0.25">
      <c r="A218" s="494" t="s">
        <v>418</v>
      </c>
      <c r="B218" s="301">
        <v>1533.33</v>
      </c>
      <c r="C218" s="301">
        <v>0</v>
      </c>
      <c r="D218" s="301">
        <v>0</v>
      </c>
      <c r="E218" s="301">
        <v>0</v>
      </c>
      <c r="F218" s="301">
        <v>1533.33</v>
      </c>
      <c r="G218" s="496">
        <v>0</v>
      </c>
      <c r="H218" s="496"/>
    </row>
    <row r="219" spans="1:8" x14ac:dyDescent="0.25">
      <c r="A219" s="488"/>
      <c r="B219" s="393"/>
      <c r="C219" s="393"/>
      <c r="D219" s="393"/>
      <c r="E219" s="393"/>
      <c r="F219" s="393"/>
      <c r="G219" s="393"/>
      <c r="H219" s="393"/>
    </row>
    <row r="220" spans="1:8" x14ac:dyDescent="0.25">
      <c r="A220" s="487" t="s">
        <v>419</v>
      </c>
      <c r="B220" s="301">
        <v>132.51</v>
      </c>
      <c r="C220" s="301">
        <v>0</v>
      </c>
      <c r="D220" s="301">
        <v>0</v>
      </c>
      <c r="E220" s="301">
        <v>0</v>
      </c>
      <c r="F220" s="301">
        <v>132.51</v>
      </c>
      <c r="G220" s="490">
        <v>0</v>
      </c>
      <c r="H220" s="490"/>
    </row>
    <row r="221" spans="1:8" x14ac:dyDescent="0.25">
      <c r="A221" s="488"/>
      <c r="B221" s="393"/>
      <c r="C221" s="393"/>
      <c r="D221" s="393"/>
      <c r="E221" s="393"/>
      <c r="F221" s="393"/>
      <c r="G221" s="393"/>
      <c r="H221" s="393"/>
    </row>
    <row r="222" spans="1:8" x14ac:dyDescent="0.25">
      <c r="A222" s="391" t="s">
        <v>420</v>
      </c>
      <c r="B222" s="390">
        <v>0</v>
      </c>
      <c r="C222" s="390">
        <v>123896.39</v>
      </c>
      <c r="D222" s="390">
        <v>559065.76</v>
      </c>
      <c r="E222" s="390">
        <v>490928.71</v>
      </c>
      <c r="F222" s="390">
        <v>0</v>
      </c>
      <c r="G222" s="489">
        <v>55759.34</v>
      </c>
      <c r="H222" s="489"/>
    </row>
    <row r="223" spans="1:8" x14ac:dyDescent="0.25">
      <c r="A223" s="391" t="s">
        <v>421</v>
      </c>
      <c r="B223" s="390">
        <v>0</v>
      </c>
      <c r="C223" s="390">
        <v>2164.11</v>
      </c>
      <c r="D223" s="390">
        <v>72359.199999999997</v>
      </c>
      <c r="E223" s="390">
        <v>73977.350000000006</v>
      </c>
      <c r="F223" s="390">
        <v>0</v>
      </c>
      <c r="G223" s="489">
        <v>3782.26</v>
      </c>
      <c r="H223" s="489"/>
    </row>
    <row r="224" spans="1:8" x14ac:dyDescent="0.25">
      <c r="A224" s="300" t="s">
        <v>422</v>
      </c>
      <c r="B224" s="301">
        <v>0</v>
      </c>
      <c r="C224" s="301">
        <v>0</v>
      </c>
      <c r="D224" s="301">
        <v>21349.97</v>
      </c>
      <c r="E224" s="301">
        <v>21349.97</v>
      </c>
      <c r="F224" s="301">
        <v>0</v>
      </c>
      <c r="G224" s="477">
        <v>0</v>
      </c>
      <c r="H224" s="477"/>
    </row>
    <row r="225" spans="1:8" x14ac:dyDescent="0.25">
      <c r="A225" s="300" t="s">
        <v>423</v>
      </c>
      <c r="B225" s="301">
        <v>0</v>
      </c>
      <c r="C225" s="301">
        <v>0</v>
      </c>
      <c r="D225" s="301">
        <v>33944.230000000003</v>
      </c>
      <c r="E225" s="301">
        <v>33944.230000000003</v>
      </c>
      <c r="F225" s="301">
        <v>0</v>
      </c>
      <c r="G225" s="477">
        <v>0</v>
      </c>
      <c r="H225" s="477"/>
    </row>
    <row r="226" spans="1:8" x14ac:dyDescent="0.25">
      <c r="A226" s="487" t="s">
        <v>424</v>
      </c>
      <c r="B226" s="301">
        <v>0</v>
      </c>
      <c r="C226" s="301">
        <v>2164.11</v>
      </c>
      <c r="D226" s="301">
        <v>17065</v>
      </c>
      <c r="E226" s="301">
        <v>18683.150000000001</v>
      </c>
      <c r="F226" s="301">
        <v>0</v>
      </c>
      <c r="G226" s="490">
        <v>3782.26</v>
      </c>
      <c r="H226" s="490"/>
    </row>
    <row r="227" spans="1:8" x14ac:dyDescent="0.25">
      <c r="A227" s="488"/>
      <c r="B227" s="393"/>
      <c r="C227" s="393"/>
      <c r="D227" s="393"/>
      <c r="E227" s="393"/>
      <c r="F227" s="393"/>
      <c r="G227" s="393"/>
      <c r="H227" s="393"/>
    </row>
    <row r="228" spans="1:8" x14ac:dyDescent="0.25">
      <c r="A228" s="391" t="s">
        <v>425</v>
      </c>
      <c r="B228" s="390">
        <v>0</v>
      </c>
      <c r="C228" s="390">
        <v>13040</v>
      </c>
      <c r="D228" s="390">
        <v>9780</v>
      </c>
      <c r="E228" s="390">
        <v>0</v>
      </c>
      <c r="F228" s="390">
        <v>0</v>
      </c>
      <c r="G228" s="489">
        <v>3260</v>
      </c>
      <c r="H228" s="489"/>
    </row>
    <row r="229" spans="1:8" x14ac:dyDescent="0.25">
      <c r="A229" s="300" t="s">
        <v>426</v>
      </c>
      <c r="B229" s="301">
        <v>0</v>
      </c>
      <c r="C229" s="301">
        <v>13040</v>
      </c>
      <c r="D229" s="301">
        <v>9780</v>
      </c>
      <c r="E229" s="301">
        <v>0</v>
      </c>
      <c r="F229" s="301">
        <v>0</v>
      </c>
      <c r="G229" s="477">
        <v>3260</v>
      </c>
      <c r="H229" s="477"/>
    </row>
    <row r="230" spans="1:8" x14ac:dyDescent="0.25">
      <c r="A230" s="474" t="s">
        <v>427</v>
      </c>
      <c r="B230" s="390">
        <v>0</v>
      </c>
      <c r="C230" s="390">
        <v>108692.28</v>
      </c>
      <c r="D230" s="390">
        <v>476926.56</v>
      </c>
      <c r="E230" s="390">
        <v>416951.36</v>
      </c>
      <c r="F230" s="390">
        <v>0</v>
      </c>
      <c r="G230" s="476">
        <v>48717.08</v>
      </c>
      <c r="H230" s="476"/>
    </row>
    <row r="231" spans="1:8" x14ac:dyDescent="0.25">
      <c r="A231" s="475"/>
      <c r="B231" s="393"/>
      <c r="C231" s="393"/>
      <c r="D231" s="393"/>
      <c r="E231" s="393"/>
      <c r="F231" s="393"/>
      <c r="G231" s="393"/>
      <c r="H231" s="393"/>
    </row>
    <row r="232" spans="1:8" x14ac:dyDescent="0.25">
      <c r="A232" s="300" t="s">
        <v>428</v>
      </c>
      <c r="B232" s="301">
        <v>0</v>
      </c>
      <c r="C232" s="301">
        <v>22964.58</v>
      </c>
      <c r="D232" s="301">
        <v>103789.7</v>
      </c>
      <c r="E232" s="301">
        <v>44116.88</v>
      </c>
      <c r="F232" s="301">
        <v>36708.239999999998</v>
      </c>
      <c r="G232" s="477">
        <v>0</v>
      </c>
      <c r="H232" s="477"/>
    </row>
    <row r="233" spans="1:8" x14ac:dyDescent="0.25">
      <c r="A233" s="300" t="s">
        <v>429</v>
      </c>
      <c r="B233" s="301">
        <v>0</v>
      </c>
      <c r="C233" s="301">
        <v>0</v>
      </c>
      <c r="D233" s="301">
        <v>55990.17</v>
      </c>
      <c r="E233" s="301">
        <v>101507.5</v>
      </c>
      <c r="F233" s="301">
        <v>0</v>
      </c>
      <c r="G233" s="477">
        <v>45517.33</v>
      </c>
      <c r="H233" s="477"/>
    </row>
    <row r="234" spans="1:8" x14ac:dyDescent="0.25">
      <c r="A234" s="300" t="s">
        <v>430</v>
      </c>
      <c r="B234" s="301">
        <v>0</v>
      </c>
      <c r="C234" s="301">
        <v>32566.46</v>
      </c>
      <c r="D234" s="301">
        <v>70754.27</v>
      </c>
      <c r="E234" s="301">
        <v>46437.81</v>
      </c>
      <c r="F234" s="301">
        <v>0</v>
      </c>
      <c r="G234" s="477">
        <v>8250</v>
      </c>
      <c r="H234" s="477"/>
    </row>
    <row r="235" spans="1:8" x14ac:dyDescent="0.25">
      <c r="A235" s="487" t="s">
        <v>431</v>
      </c>
      <c r="B235" s="301">
        <v>8088.59</v>
      </c>
      <c r="C235" s="301">
        <v>0</v>
      </c>
      <c r="D235" s="301">
        <v>0</v>
      </c>
      <c r="E235" s="301">
        <v>1609.86</v>
      </c>
      <c r="F235" s="301">
        <v>6478.73</v>
      </c>
      <c r="G235" s="490">
        <v>0</v>
      </c>
      <c r="H235" s="490"/>
    </row>
    <row r="236" spans="1:8" x14ac:dyDescent="0.25">
      <c r="A236" s="488"/>
      <c r="B236" s="393"/>
      <c r="C236" s="393"/>
      <c r="D236" s="393"/>
      <c r="E236" s="393"/>
      <c r="F236" s="393"/>
      <c r="G236" s="393"/>
      <c r="H236" s="393"/>
    </row>
    <row r="237" spans="1:8" x14ac:dyDescent="0.25">
      <c r="A237" s="300" t="s">
        <v>432</v>
      </c>
      <c r="B237" s="301">
        <v>0</v>
      </c>
      <c r="C237" s="301">
        <v>42037.05</v>
      </c>
      <c r="D237" s="301">
        <v>246392.42</v>
      </c>
      <c r="E237" s="301">
        <v>223279.31</v>
      </c>
      <c r="F237" s="301">
        <v>0</v>
      </c>
      <c r="G237" s="477">
        <v>18923.939999999999</v>
      </c>
      <c r="H237" s="477"/>
    </row>
    <row r="238" spans="1:8" x14ac:dyDescent="0.25">
      <c r="A238" s="300" t="s">
        <v>433</v>
      </c>
      <c r="B238" s="301">
        <v>0</v>
      </c>
      <c r="C238" s="301">
        <v>19202.77</v>
      </c>
      <c r="D238" s="301">
        <v>0</v>
      </c>
      <c r="E238" s="301">
        <v>0</v>
      </c>
      <c r="F238" s="301">
        <v>0</v>
      </c>
      <c r="G238" s="477">
        <v>19202.77</v>
      </c>
      <c r="H238" s="477"/>
    </row>
    <row r="239" spans="1:8" x14ac:dyDescent="0.25">
      <c r="A239" s="300" t="s">
        <v>434</v>
      </c>
      <c r="B239" s="301">
        <v>0</v>
      </c>
      <c r="C239" s="301">
        <v>1.71</v>
      </c>
      <c r="D239" s="301">
        <v>0</v>
      </c>
      <c r="E239" s="301">
        <v>0</v>
      </c>
      <c r="F239" s="301">
        <v>0</v>
      </c>
      <c r="G239" s="477">
        <v>1.71</v>
      </c>
      <c r="H239" s="477"/>
    </row>
    <row r="240" spans="1:8" x14ac:dyDescent="0.25">
      <c r="A240" s="300" t="s">
        <v>435</v>
      </c>
      <c r="B240" s="301">
        <v>0</v>
      </c>
      <c r="C240" s="301">
        <v>8.3000000000000007</v>
      </c>
      <c r="D240" s="301">
        <v>0</v>
      </c>
      <c r="E240" s="301">
        <v>0</v>
      </c>
      <c r="F240" s="301">
        <v>0</v>
      </c>
      <c r="G240" s="477">
        <v>8.3000000000000007</v>
      </c>
      <c r="H240" s="477"/>
    </row>
    <row r="241" spans="1:8" x14ac:dyDescent="0.25">
      <c r="A241" s="474" t="s">
        <v>436</v>
      </c>
      <c r="B241" s="390">
        <v>0</v>
      </c>
      <c r="C241" s="390">
        <v>10997.32</v>
      </c>
      <c r="D241" s="390">
        <v>16272.59</v>
      </c>
      <c r="E241" s="390">
        <v>18575.240000000002</v>
      </c>
      <c r="F241" s="390">
        <v>0</v>
      </c>
      <c r="G241" s="476">
        <v>13299.97</v>
      </c>
      <c r="H241" s="476"/>
    </row>
    <row r="242" spans="1:8" x14ac:dyDescent="0.25">
      <c r="A242" s="475"/>
      <c r="B242" s="393"/>
      <c r="C242" s="393"/>
      <c r="D242" s="393"/>
      <c r="E242" s="393"/>
      <c r="F242" s="393"/>
      <c r="G242" s="393"/>
      <c r="H242" s="393"/>
    </row>
    <row r="243" spans="1:8" x14ac:dyDescent="0.25">
      <c r="A243" s="300" t="s">
        <v>437</v>
      </c>
      <c r="B243" s="301">
        <v>0</v>
      </c>
      <c r="C243" s="301">
        <v>6260.17</v>
      </c>
      <c r="D243" s="301">
        <v>0</v>
      </c>
      <c r="E243" s="301">
        <v>0</v>
      </c>
      <c r="F243" s="301">
        <v>0</v>
      </c>
      <c r="G243" s="477">
        <v>6260.17</v>
      </c>
      <c r="H243" s="477"/>
    </row>
    <row r="244" spans="1:8" x14ac:dyDescent="0.25">
      <c r="A244" s="487" t="s">
        <v>438</v>
      </c>
      <c r="B244" s="301">
        <v>0</v>
      </c>
      <c r="C244" s="301">
        <v>3357.15</v>
      </c>
      <c r="D244" s="301">
        <v>16272.59</v>
      </c>
      <c r="E244" s="301">
        <v>18575.240000000002</v>
      </c>
      <c r="F244" s="301">
        <v>0</v>
      </c>
      <c r="G244" s="490">
        <v>5659.8</v>
      </c>
      <c r="H244" s="490"/>
    </row>
    <row r="245" spans="1:8" x14ac:dyDescent="0.25">
      <c r="A245" s="488"/>
      <c r="B245" s="393"/>
      <c r="C245" s="393"/>
      <c r="D245" s="393"/>
      <c r="E245" s="393"/>
      <c r="F245" s="393"/>
      <c r="G245" s="393"/>
      <c r="H245" s="393"/>
    </row>
    <row r="246" spans="1:8" x14ac:dyDescent="0.25">
      <c r="A246" s="487" t="s">
        <v>439</v>
      </c>
      <c r="B246" s="301">
        <v>0</v>
      </c>
      <c r="C246" s="301">
        <v>1380</v>
      </c>
      <c r="D246" s="301">
        <v>0</v>
      </c>
      <c r="E246" s="301">
        <v>0</v>
      </c>
      <c r="F246" s="301">
        <v>0</v>
      </c>
      <c r="G246" s="490">
        <v>1380</v>
      </c>
      <c r="H246" s="490"/>
    </row>
    <row r="247" spans="1:8" x14ac:dyDescent="0.25">
      <c r="A247" s="488"/>
      <c r="B247" s="393"/>
      <c r="C247" s="393"/>
      <c r="D247" s="393"/>
      <c r="E247" s="393"/>
      <c r="F247" s="393"/>
      <c r="G247" s="393"/>
      <c r="H247" s="393"/>
    </row>
    <row r="248" spans="1:8" x14ac:dyDescent="0.25">
      <c r="A248" s="391" t="s">
        <v>440</v>
      </c>
      <c r="B248" s="390">
        <v>0</v>
      </c>
      <c r="C248" s="390">
        <v>0</v>
      </c>
      <c r="D248" s="390">
        <v>1100.7</v>
      </c>
      <c r="E248" s="390">
        <v>673029.59</v>
      </c>
      <c r="F248" s="390">
        <v>0</v>
      </c>
      <c r="G248" s="489">
        <v>671928.89</v>
      </c>
      <c r="H248" s="489"/>
    </row>
    <row r="249" spans="1:8" x14ac:dyDescent="0.25">
      <c r="A249" s="391" t="s">
        <v>441</v>
      </c>
      <c r="B249" s="390">
        <v>0</v>
      </c>
      <c r="C249" s="390">
        <v>0</v>
      </c>
      <c r="D249" s="390">
        <v>600</v>
      </c>
      <c r="E249" s="390">
        <v>121694.18</v>
      </c>
      <c r="F249" s="390">
        <v>0</v>
      </c>
      <c r="G249" s="489">
        <v>121094.18</v>
      </c>
      <c r="H249" s="489"/>
    </row>
    <row r="250" spans="1:8" x14ac:dyDescent="0.25">
      <c r="A250" s="391" t="s">
        <v>442</v>
      </c>
      <c r="B250" s="390">
        <v>0</v>
      </c>
      <c r="C250" s="390">
        <v>0</v>
      </c>
      <c r="D250" s="390">
        <v>0</v>
      </c>
      <c r="E250" s="390">
        <v>47479.51</v>
      </c>
      <c r="F250" s="390">
        <v>0</v>
      </c>
      <c r="G250" s="489">
        <v>47479.51</v>
      </c>
      <c r="H250" s="489"/>
    </row>
    <row r="251" spans="1:8" x14ac:dyDescent="0.25">
      <c r="A251" s="300" t="s">
        <v>443</v>
      </c>
      <c r="B251" s="301">
        <v>0</v>
      </c>
      <c r="C251" s="301">
        <v>0</v>
      </c>
      <c r="D251" s="301">
        <v>0</v>
      </c>
      <c r="E251" s="301">
        <v>4464</v>
      </c>
      <c r="F251" s="301">
        <v>0</v>
      </c>
      <c r="G251" s="477">
        <v>4464</v>
      </c>
      <c r="H251" s="477"/>
    </row>
    <row r="252" spans="1:8" x14ac:dyDescent="0.25">
      <c r="A252" s="300" t="s">
        <v>444</v>
      </c>
      <c r="B252" s="301">
        <v>0</v>
      </c>
      <c r="C252" s="301">
        <v>0</v>
      </c>
      <c r="D252" s="301">
        <v>0</v>
      </c>
      <c r="E252" s="301">
        <v>42640.25</v>
      </c>
      <c r="F252" s="301">
        <v>0</v>
      </c>
      <c r="G252" s="477">
        <v>42640.25</v>
      </c>
      <c r="H252" s="477"/>
    </row>
    <row r="253" spans="1:8" x14ac:dyDescent="0.25">
      <c r="A253" s="300" t="s">
        <v>445</v>
      </c>
      <c r="B253" s="301">
        <v>0</v>
      </c>
      <c r="C253" s="301">
        <v>0</v>
      </c>
      <c r="D253" s="301">
        <v>0</v>
      </c>
      <c r="E253" s="301">
        <v>375.26</v>
      </c>
      <c r="F253" s="301">
        <v>0</v>
      </c>
      <c r="G253" s="477">
        <v>375.26</v>
      </c>
      <c r="H253" s="477"/>
    </row>
    <row r="254" spans="1:8" x14ac:dyDescent="0.25">
      <c r="A254" s="391" t="s">
        <v>446</v>
      </c>
      <c r="B254" s="390">
        <v>0</v>
      </c>
      <c r="C254" s="390">
        <v>0</v>
      </c>
      <c r="D254" s="390">
        <v>600</v>
      </c>
      <c r="E254" s="390">
        <v>74214.67</v>
      </c>
      <c r="F254" s="390">
        <v>0</v>
      </c>
      <c r="G254" s="489">
        <v>73614.67</v>
      </c>
      <c r="H254" s="489"/>
    </row>
    <row r="255" spans="1:8" x14ac:dyDescent="0.25">
      <c r="A255" s="300" t="s">
        <v>447</v>
      </c>
      <c r="B255" s="301">
        <v>0</v>
      </c>
      <c r="C255" s="301">
        <v>0</v>
      </c>
      <c r="D255" s="301">
        <v>0</v>
      </c>
      <c r="E255" s="301">
        <v>38057.599999999999</v>
      </c>
      <c r="F255" s="301">
        <v>0</v>
      </c>
      <c r="G255" s="477">
        <v>38057.599999999999</v>
      </c>
      <c r="H255" s="477"/>
    </row>
    <row r="256" spans="1:8" x14ac:dyDescent="0.25">
      <c r="A256" s="300" t="s">
        <v>448</v>
      </c>
      <c r="B256" s="301">
        <v>0</v>
      </c>
      <c r="C256" s="301">
        <v>0</v>
      </c>
      <c r="D256" s="301">
        <v>600</v>
      </c>
      <c r="E256" s="301">
        <v>1157.07</v>
      </c>
      <c r="F256" s="301">
        <v>0</v>
      </c>
      <c r="G256" s="477">
        <v>557.07000000000005</v>
      </c>
      <c r="H256" s="477"/>
    </row>
    <row r="257" spans="1:8" x14ac:dyDescent="0.25">
      <c r="A257" s="300" t="s">
        <v>449</v>
      </c>
      <c r="B257" s="301">
        <v>0</v>
      </c>
      <c r="C257" s="301">
        <v>0</v>
      </c>
      <c r="D257" s="301">
        <v>0</v>
      </c>
      <c r="E257" s="301">
        <v>35000</v>
      </c>
      <c r="F257" s="301">
        <v>0</v>
      </c>
      <c r="G257" s="477">
        <v>35000</v>
      </c>
      <c r="H257" s="477"/>
    </row>
    <row r="258" spans="1:8" x14ac:dyDescent="0.25">
      <c r="A258" s="391" t="s">
        <v>450</v>
      </c>
      <c r="B258" s="390">
        <v>0</v>
      </c>
      <c r="C258" s="390">
        <v>0</v>
      </c>
      <c r="D258" s="390">
        <v>0</v>
      </c>
      <c r="E258" s="390">
        <v>43194.32</v>
      </c>
      <c r="F258" s="390">
        <v>0</v>
      </c>
      <c r="G258" s="489">
        <v>43194.32</v>
      </c>
      <c r="H258" s="489"/>
    </row>
    <row r="259" spans="1:8" x14ac:dyDescent="0.25">
      <c r="A259" s="300" t="s">
        <v>451</v>
      </c>
      <c r="B259" s="301">
        <v>0</v>
      </c>
      <c r="C259" s="301">
        <v>0</v>
      </c>
      <c r="D259" s="301">
        <v>0</v>
      </c>
      <c r="E259" s="301">
        <v>36338.82</v>
      </c>
      <c r="F259" s="301">
        <v>0</v>
      </c>
      <c r="G259" s="477">
        <v>36338.82</v>
      </c>
      <c r="H259" s="477"/>
    </row>
    <row r="260" spans="1:8" x14ac:dyDescent="0.25">
      <c r="A260" s="487" t="s">
        <v>452</v>
      </c>
      <c r="B260" s="301">
        <v>0</v>
      </c>
      <c r="C260" s="301">
        <v>0</v>
      </c>
      <c r="D260" s="301">
        <v>0</v>
      </c>
      <c r="E260" s="301">
        <v>6855.5</v>
      </c>
      <c r="F260" s="301">
        <v>0</v>
      </c>
      <c r="G260" s="490">
        <v>6855.5</v>
      </c>
      <c r="H260" s="490"/>
    </row>
    <row r="261" spans="1:8" x14ac:dyDescent="0.25">
      <c r="A261" s="488"/>
      <c r="B261" s="393"/>
      <c r="C261" s="393"/>
      <c r="D261" s="393"/>
      <c r="E261" s="393"/>
      <c r="F261" s="393"/>
      <c r="G261" s="393"/>
      <c r="H261" s="393"/>
    </row>
    <row r="262" spans="1:8" x14ac:dyDescent="0.25">
      <c r="A262" s="474" t="s">
        <v>453</v>
      </c>
      <c r="B262" s="390">
        <v>0</v>
      </c>
      <c r="C262" s="390">
        <v>0</v>
      </c>
      <c r="D262" s="390">
        <v>347.52</v>
      </c>
      <c r="E262" s="390">
        <v>182310.9</v>
      </c>
      <c r="F262" s="390">
        <v>0</v>
      </c>
      <c r="G262" s="476">
        <v>181963.38</v>
      </c>
      <c r="H262" s="476"/>
    </row>
    <row r="263" spans="1:8" x14ac:dyDescent="0.25">
      <c r="A263" s="475"/>
      <c r="B263" s="393"/>
      <c r="C263" s="393"/>
      <c r="D263" s="393"/>
      <c r="E263" s="393"/>
      <c r="F263" s="393"/>
      <c r="G263" s="393"/>
      <c r="H263" s="393"/>
    </row>
    <row r="264" spans="1:8" x14ac:dyDescent="0.25">
      <c r="A264" s="300" t="s">
        <v>454</v>
      </c>
      <c r="B264" s="301">
        <v>0</v>
      </c>
      <c r="C264" s="301">
        <v>0</v>
      </c>
      <c r="D264" s="301">
        <v>347.52</v>
      </c>
      <c r="E264" s="301">
        <v>122076.1</v>
      </c>
      <c r="F264" s="301">
        <v>0</v>
      </c>
      <c r="G264" s="477">
        <v>121728.58</v>
      </c>
      <c r="H264" s="477"/>
    </row>
    <row r="265" spans="1:8" x14ac:dyDescent="0.25">
      <c r="A265" s="487" t="s">
        <v>455</v>
      </c>
      <c r="B265" s="301">
        <v>0</v>
      </c>
      <c r="C265" s="301">
        <v>0</v>
      </c>
      <c r="D265" s="301">
        <v>0</v>
      </c>
      <c r="E265" s="301">
        <v>19974</v>
      </c>
      <c r="F265" s="301">
        <v>0</v>
      </c>
      <c r="G265" s="490">
        <v>19974</v>
      </c>
      <c r="H265" s="490"/>
    </row>
    <row r="266" spans="1:8" x14ac:dyDescent="0.25">
      <c r="A266" s="488"/>
      <c r="B266" s="393"/>
      <c r="C266" s="393"/>
      <c r="D266" s="393"/>
      <c r="E266" s="393"/>
      <c r="F266" s="393"/>
      <c r="G266" s="393"/>
      <c r="H266" s="393"/>
    </row>
    <row r="267" spans="1:8" x14ac:dyDescent="0.25">
      <c r="A267" s="300" t="s">
        <v>456</v>
      </c>
      <c r="B267" s="301">
        <v>0</v>
      </c>
      <c r="C267" s="301">
        <v>0</v>
      </c>
      <c r="D267" s="301">
        <v>0</v>
      </c>
      <c r="E267" s="301">
        <v>40260.800000000003</v>
      </c>
      <c r="F267" s="301">
        <v>0</v>
      </c>
      <c r="G267" s="477">
        <v>40260.800000000003</v>
      </c>
      <c r="H267" s="477"/>
    </row>
    <row r="268" spans="1:8" x14ac:dyDescent="0.25">
      <c r="A268" s="391" t="s">
        <v>457</v>
      </c>
      <c r="B268" s="390">
        <v>0</v>
      </c>
      <c r="C268" s="390">
        <v>0</v>
      </c>
      <c r="D268" s="390">
        <v>153.18</v>
      </c>
      <c r="E268" s="390">
        <v>107020.19</v>
      </c>
      <c r="F268" s="390">
        <v>0</v>
      </c>
      <c r="G268" s="489">
        <v>106867.01</v>
      </c>
      <c r="H268" s="489"/>
    </row>
    <row r="269" spans="1:8" x14ac:dyDescent="0.25">
      <c r="A269" s="300" t="s">
        <v>458</v>
      </c>
      <c r="B269" s="301">
        <v>0</v>
      </c>
      <c r="C269" s="301">
        <v>0</v>
      </c>
      <c r="D269" s="301">
        <v>153.18</v>
      </c>
      <c r="E269" s="301">
        <v>107020.19</v>
      </c>
      <c r="F269" s="301">
        <v>0</v>
      </c>
      <c r="G269" s="477">
        <v>106867.01</v>
      </c>
      <c r="H269" s="477"/>
    </row>
    <row r="270" spans="1:8" x14ac:dyDescent="0.25">
      <c r="A270" s="391" t="s">
        <v>459</v>
      </c>
      <c r="B270" s="390">
        <v>0</v>
      </c>
      <c r="C270" s="390">
        <v>0</v>
      </c>
      <c r="D270" s="390">
        <v>0</v>
      </c>
      <c r="E270" s="390">
        <v>218810</v>
      </c>
      <c r="F270" s="390">
        <v>0</v>
      </c>
      <c r="G270" s="489">
        <v>218810</v>
      </c>
      <c r="H270" s="489"/>
    </row>
    <row r="271" spans="1:8" x14ac:dyDescent="0.25">
      <c r="A271" s="300" t="s">
        <v>460</v>
      </c>
      <c r="B271" s="301">
        <v>0</v>
      </c>
      <c r="C271" s="301">
        <v>0</v>
      </c>
      <c r="D271" s="301">
        <v>0</v>
      </c>
      <c r="E271" s="301">
        <v>218810</v>
      </c>
      <c r="F271" s="301">
        <v>0</v>
      </c>
      <c r="G271" s="477">
        <v>218810</v>
      </c>
      <c r="H271" s="477"/>
    </row>
    <row r="272" spans="1:8" x14ac:dyDescent="0.25">
      <c r="A272" s="391" t="s">
        <v>461</v>
      </c>
      <c r="B272" s="390">
        <v>0</v>
      </c>
      <c r="C272" s="390">
        <v>0</v>
      </c>
      <c r="D272" s="390">
        <v>599962.37</v>
      </c>
      <c r="E272" s="390">
        <v>37314.14</v>
      </c>
      <c r="F272" s="390">
        <v>562648.23</v>
      </c>
      <c r="G272" s="489">
        <v>0</v>
      </c>
      <c r="H272" s="489"/>
    </row>
    <row r="273" spans="1:8" x14ac:dyDescent="0.25">
      <c r="A273" s="474" t="s">
        <v>462</v>
      </c>
      <c r="B273" s="390">
        <v>0</v>
      </c>
      <c r="C273" s="390">
        <v>0</v>
      </c>
      <c r="D273" s="390">
        <v>67448.59</v>
      </c>
      <c r="E273" s="390">
        <v>0</v>
      </c>
      <c r="F273" s="390">
        <v>67448.59</v>
      </c>
      <c r="G273" s="476">
        <v>0</v>
      </c>
      <c r="H273" s="476"/>
    </row>
    <row r="274" spans="1:8" x14ac:dyDescent="0.25">
      <c r="A274" s="475"/>
      <c r="B274" s="393"/>
      <c r="C274" s="393"/>
      <c r="D274" s="393"/>
      <c r="E274" s="393"/>
      <c r="F274" s="393"/>
      <c r="G274" s="393"/>
      <c r="H274" s="393"/>
    </row>
    <row r="275" spans="1:8" x14ac:dyDescent="0.25">
      <c r="A275" s="391" t="s">
        <v>463</v>
      </c>
      <c r="B275" s="390">
        <v>0</v>
      </c>
      <c r="C275" s="390">
        <v>0</v>
      </c>
      <c r="D275" s="390">
        <v>67448.59</v>
      </c>
      <c r="E275" s="390">
        <v>0</v>
      </c>
      <c r="F275" s="390">
        <v>67448.59</v>
      </c>
      <c r="G275" s="489">
        <v>0</v>
      </c>
      <c r="H275" s="489"/>
    </row>
    <row r="276" spans="1:8" x14ac:dyDescent="0.25">
      <c r="A276" s="300" t="s">
        <v>464</v>
      </c>
      <c r="B276" s="301">
        <v>0</v>
      </c>
      <c r="C276" s="301">
        <v>0</v>
      </c>
      <c r="D276" s="301">
        <v>4421.59</v>
      </c>
      <c r="E276" s="301">
        <v>0</v>
      </c>
      <c r="F276" s="301">
        <v>4421.59</v>
      </c>
      <c r="G276" s="477">
        <v>0</v>
      </c>
      <c r="H276" s="477"/>
    </row>
    <row r="277" spans="1:8" x14ac:dyDescent="0.25">
      <c r="A277" s="300" t="s">
        <v>465</v>
      </c>
      <c r="B277" s="301">
        <v>0</v>
      </c>
      <c r="C277" s="301">
        <v>0</v>
      </c>
      <c r="D277" s="301">
        <v>28116.57</v>
      </c>
      <c r="E277" s="301">
        <v>0</v>
      </c>
      <c r="F277" s="301">
        <v>28116.57</v>
      </c>
      <c r="G277" s="477">
        <v>0</v>
      </c>
      <c r="H277" s="477"/>
    </row>
    <row r="278" spans="1:8" x14ac:dyDescent="0.25">
      <c r="A278" s="300" t="s">
        <v>466</v>
      </c>
      <c r="B278" s="301">
        <v>0</v>
      </c>
      <c r="C278" s="301">
        <v>0</v>
      </c>
      <c r="D278" s="301">
        <v>30621.3</v>
      </c>
      <c r="E278" s="301">
        <v>0</v>
      </c>
      <c r="F278" s="301">
        <v>30621.3</v>
      </c>
      <c r="G278" s="477">
        <v>0</v>
      </c>
      <c r="H278" s="477"/>
    </row>
    <row r="279" spans="1:8" x14ac:dyDescent="0.25">
      <c r="A279" s="300" t="s">
        <v>467</v>
      </c>
      <c r="B279" s="301">
        <v>0</v>
      </c>
      <c r="C279" s="301">
        <v>0</v>
      </c>
      <c r="D279" s="301">
        <v>4289.13</v>
      </c>
      <c r="E279" s="301">
        <v>0</v>
      </c>
      <c r="F279" s="301">
        <v>4289.13</v>
      </c>
      <c r="G279" s="477">
        <v>0</v>
      </c>
      <c r="H279" s="477"/>
    </row>
    <row r="280" spans="1:8" x14ac:dyDescent="0.25">
      <c r="A280" s="391" t="s">
        <v>468</v>
      </c>
      <c r="B280" s="390">
        <v>0</v>
      </c>
      <c r="C280" s="390">
        <v>0</v>
      </c>
      <c r="D280" s="390">
        <v>14024.68</v>
      </c>
      <c r="E280" s="390">
        <v>0</v>
      </c>
      <c r="F280" s="390">
        <v>14024.68</v>
      </c>
      <c r="G280" s="476">
        <v>0</v>
      </c>
      <c r="H280" s="476"/>
    </row>
    <row r="281" spans="1:8" x14ac:dyDescent="0.25">
      <c r="A281" s="393"/>
      <c r="B281" s="393"/>
      <c r="C281" s="393"/>
      <c r="D281" s="393"/>
      <c r="E281" s="393"/>
      <c r="F281" s="393"/>
      <c r="G281" s="393"/>
      <c r="H281" s="393"/>
    </row>
    <row r="282" spans="1:8" x14ac:dyDescent="0.25">
      <c r="A282" s="302" t="s">
        <v>267</v>
      </c>
      <c r="B282" s="479" t="s">
        <v>268</v>
      </c>
      <c r="C282" s="479"/>
      <c r="D282" s="479"/>
      <c r="E282" s="479"/>
      <c r="F282" s="479"/>
      <c r="G282" s="393"/>
      <c r="H282" s="393"/>
    </row>
    <row r="283" spans="1:8" x14ac:dyDescent="0.25">
      <c r="A283" s="302" t="s">
        <v>633</v>
      </c>
      <c r="B283" s="480" t="s">
        <v>269</v>
      </c>
      <c r="C283" s="480"/>
      <c r="D283" s="480"/>
      <c r="E283" s="480"/>
      <c r="F283" s="480"/>
      <c r="G283" s="302" t="s">
        <v>554</v>
      </c>
      <c r="H283" s="393"/>
    </row>
    <row r="284" spans="1:8" x14ac:dyDescent="0.25">
      <c r="A284" s="481" t="s">
        <v>271</v>
      </c>
      <c r="B284" s="481"/>
      <c r="C284" s="481"/>
      <c r="D284" s="481"/>
      <c r="E284" s="481"/>
      <c r="F284" s="481"/>
      <c r="G284" s="481"/>
      <c r="H284" s="481"/>
    </row>
    <row r="285" spans="1:8" x14ac:dyDescent="0.25">
      <c r="A285" s="393"/>
      <c r="B285" s="393"/>
      <c r="C285" s="393"/>
      <c r="D285" s="393"/>
      <c r="E285" s="393"/>
      <c r="F285" s="393"/>
      <c r="G285" s="393"/>
      <c r="H285" s="393"/>
    </row>
    <row r="286" spans="1:8" x14ac:dyDescent="0.25">
      <c r="A286" s="482" t="s">
        <v>272</v>
      </c>
      <c r="B286" s="484" t="s">
        <v>273</v>
      </c>
      <c r="C286" s="484"/>
      <c r="D286" s="484" t="s">
        <v>274</v>
      </c>
      <c r="E286" s="484"/>
      <c r="F286" s="484" t="s">
        <v>275</v>
      </c>
      <c r="G286" s="484"/>
      <c r="H286" s="485"/>
    </row>
    <row r="287" spans="1:8" x14ac:dyDescent="0.25">
      <c r="A287" s="483"/>
      <c r="B287" s="389" t="s">
        <v>276</v>
      </c>
      <c r="C287" s="389" t="s">
        <v>277</v>
      </c>
      <c r="D287" s="389" t="s">
        <v>276</v>
      </c>
      <c r="E287" s="389" t="s">
        <v>277</v>
      </c>
      <c r="F287" s="389" t="s">
        <v>276</v>
      </c>
      <c r="G287" s="492" t="s">
        <v>277</v>
      </c>
      <c r="H287" s="493"/>
    </row>
    <row r="288" spans="1:8" x14ac:dyDescent="0.25">
      <c r="A288" s="300" t="s">
        <v>553</v>
      </c>
      <c r="B288" s="301">
        <v>0</v>
      </c>
      <c r="C288" s="301">
        <v>0</v>
      </c>
      <c r="D288" s="301">
        <v>358.83</v>
      </c>
      <c r="E288" s="301">
        <v>0</v>
      </c>
      <c r="F288" s="301">
        <v>358.83</v>
      </c>
      <c r="G288" s="491">
        <v>0</v>
      </c>
      <c r="H288" s="491"/>
    </row>
    <row r="289" spans="1:8" x14ac:dyDescent="0.25">
      <c r="A289" s="391" t="s">
        <v>469</v>
      </c>
      <c r="B289" s="390">
        <v>0</v>
      </c>
      <c r="C289" s="390">
        <v>0</v>
      </c>
      <c r="D289" s="390">
        <v>10223.59</v>
      </c>
      <c r="E289" s="390">
        <v>0</v>
      </c>
      <c r="F289" s="390">
        <v>10223.59</v>
      </c>
      <c r="G289" s="489">
        <v>0</v>
      </c>
      <c r="H289" s="489"/>
    </row>
    <row r="290" spans="1:8" x14ac:dyDescent="0.25">
      <c r="A290" s="300" t="s">
        <v>470</v>
      </c>
      <c r="B290" s="301">
        <v>0</v>
      </c>
      <c r="C290" s="301">
        <v>0</v>
      </c>
      <c r="D290" s="301">
        <v>160</v>
      </c>
      <c r="E290" s="301">
        <v>0</v>
      </c>
      <c r="F290" s="301">
        <v>160</v>
      </c>
      <c r="G290" s="477">
        <v>0</v>
      </c>
      <c r="H290" s="477"/>
    </row>
    <row r="291" spans="1:8" x14ac:dyDescent="0.25">
      <c r="A291" s="300" t="s">
        <v>471</v>
      </c>
      <c r="B291" s="301">
        <v>0</v>
      </c>
      <c r="C291" s="301">
        <v>0</v>
      </c>
      <c r="D291" s="301">
        <v>1015</v>
      </c>
      <c r="E291" s="301">
        <v>0</v>
      </c>
      <c r="F291" s="301">
        <v>1015</v>
      </c>
      <c r="G291" s="477">
        <v>0</v>
      </c>
      <c r="H291" s="477"/>
    </row>
    <row r="292" spans="1:8" x14ac:dyDescent="0.25">
      <c r="A292" s="300" t="s">
        <v>472</v>
      </c>
      <c r="B292" s="301">
        <v>0</v>
      </c>
      <c r="C292" s="301">
        <v>0</v>
      </c>
      <c r="D292" s="301">
        <v>9048.59</v>
      </c>
      <c r="E292" s="301">
        <v>0</v>
      </c>
      <c r="F292" s="301">
        <v>9048.59</v>
      </c>
      <c r="G292" s="477">
        <v>0</v>
      </c>
      <c r="H292" s="477"/>
    </row>
    <row r="293" spans="1:8" x14ac:dyDescent="0.25">
      <c r="A293" s="474" t="s">
        <v>473</v>
      </c>
      <c r="B293" s="390">
        <v>0</v>
      </c>
      <c r="C293" s="390">
        <v>0</v>
      </c>
      <c r="D293" s="390">
        <v>22.86</v>
      </c>
      <c r="E293" s="390">
        <v>0</v>
      </c>
      <c r="F293" s="390">
        <v>22.86</v>
      </c>
      <c r="G293" s="476">
        <v>0</v>
      </c>
      <c r="H293" s="476"/>
    </row>
    <row r="294" spans="1:8" x14ac:dyDescent="0.25">
      <c r="A294" s="475"/>
      <c r="B294" s="393"/>
      <c r="C294" s="393"/>
      <c r="D294" s="393"/>
      <c r="E294" s="393"/>
      <c r="F294" s="393"/>
      <c r="G294" s="393"/>
      <c r="H294" s="393"/>
    </row>
    <row r="295" spans="1:8" x14ac:dyDescent="0.25">
      <c r="A295" s="300" t="s">
        <v>474</v>
      </c>
      <c r="B295" s="301">
        <v>0</v>
      </c>
      <c r="C295" s="301">
        <v>0</v>
      </c>
      <c r="D295" s="301">
        <v>22.86</v>
      </c>
      <c r="E295" s="301">
        <v>0</v>
      </c>
      <c r="F295" s="301">
        <v>22.86</v>
      </c>
      <c r="G295" s="477">
        <v>0</v>
      </c>
      <c r="H295" s="477"/>
    </row>
    <row r="296" spans="1:8" x14ac:dyDescent="0.25">
      <c r="A296" s="391" t="s">
        <v>475</v>
      </c>
      <c r="B296" s="390">
        <v>0</v>
      </c>
      <c r="C296" s="390">
        <v>0</v>
      </c>
      <c r="D296" s="390">
        <v>3419.4</v>
      </c>
      <c r="E296" s="390">
        <v>0</v>
      </c>
      <c r="F296" s="390">
        <v>3419.4</v>
      </c>
      <c r="G296" s="489">
        <v>0</v>
      </c>
      <c r="H296" s="489"/>
    </row>
    <row r="297" spans="1:8" x14ac:dyDescent="0.25">
      <c r="A297" s="487" t="s">
        <v>476</v>
      </c>
      <c r="B297" s="301">
        <v>0</v>
      </c>
      <c r="C297" s="301">
        <v>0</v>
      </c>
      <c r="D297" s="301">
        <v>1676.27</v>
      </c>
      <c r="E297" s="301">
        <v>0</v>
      </c>
      <c r="F297" s="301">
        <v>1676.27</v>
      </c>
      <c r="G297" s="490">
        <v>0</v>
      </c>
      <c r="H297" s="490"/>
    </row>
    <row r="298" spans="1:8" x14ac:dyDescent="0.25">
      <c r="A298" s="488"/>
      <c r="B298" s="393"/>
      <c r="C298" s="393"/>
      <c r="D298" s="393"/>
      <c r="E298" s="393"/>
      <c r="F298" s="393"/>
      <c r="G298" s="393"/>
      <c r="H298" s="393"/>
    </row>
    <row r="299" spans="1:8" x14ac:dyDescent="0.25">
      <c r="A299" s="487" t="s">
        <v>477</v>
      </c>
      <c r="B299" s="301">
        <v>0</v>
      </c>
      <c r="C299" s="301">
        <v>0</v>
      </c>
      <c r="D299" s="301">
        <v>1688.43</v>
      </c>
      <c r="E299" s="301">
        <v>0</v>
      </c>
      <c r="F299" s="301">
        <v>1688.43</v>
      </c>
      <c r="G299" s="490">
        <v>0</v>
      </c>
      <c r="H299" s="490"/>
    </row>
    <row r="300" spans="1:8" x14ac:dyDescent="0.25">
      <c r="A300" s="488"/>
      <c r="B300" s="393"/>
      <c r="C300" s="393"/>
      <c r="D300" s="393"/>
      <c r="E300" s="393"/>
      <c r="F300" s="393"/>
      <c r="G300" s="393"/>
      <c r="H300" s="393"/>
    </row>
    <row r="301" spans="1:8" x14ac:dyDescent="0.25">
      <c r="A301" s="300" t="s">
        <v>478</v>
      </c>
      <c r="B301" s="301">
        <v>0</v>
      </c>
      <c r="C301" s="301">
        <v>0</v>
      </c>
      <c r="D301" s="301">
        <v>54.7</v>
      </c>
      <c r="E301" s="301">
        <v>0</v>
      </c>
      <c r="F301" s="301">
        <v>54.7</v>
      </c>
      <c r="G301" s="477">
        <v>0</v>
      </c>
      <c r="H301" s="477"/>
    </row>
    <row r="302" spans="1:8" x14ac:dyDescent="0.25">
      <c r="A302" s="474" t="s">
        <v>479</v>
      </c>
      <c r="B302" s="390">
        <v>0</v>
      </c>
      <c r="C302" s="390">
        <v>0</v>
      </c>
      <c r="D302" s="390">
        <v>305759.46999999997</v>
      </c>
      <c r="E302" s="390">
        <v>305.12</v>
      </c>
      <c r="F302" s="390">
        <v>305454.34999999998</v>
      </c>
      <c r="G302" s="476">
        <v>0</v>
      </c>
      <c r="H302" s="476"/>
    </row>
    <row r="303" spans="1:8" x14ac:dyDescent="0.25">
      <c r="A303" s="475"/>
      <c r="B303" s="393"/>
      <c r="C303" s="393"/>
      <c r="D303" s="393"/>
      <c r="E303" s="393"/>
      <c r="F303" s="393"/>
      <c r="G303" s="393"/>
      <c r="H303" s="393"/>
    </row>
    <row r="304" spans="1:8" x14ac:dyDescent="0.25">
      <c r="A304" s="474" t="s">
        <v>480</v>
      </c>
      <c r="B304" s="390">
        <v>0</v>
      </c>
      <c r="C304" s="390">
        <v>0</v>
      </c>
      <c r="D304" s="390">
        <v>225089.94</v>
      </c>
      <c r="E304" s="390">
        <v>0</v>
      </c>
      <c r="F304" s="390">
        <v>225089.94</v>
      </c>
      <c r="G304" s="476">
        <v>0</v>
      </c>
      <c r="H304" s="476"/>
    </row>
    <row r="305" spans="1:8" x14ac:dyDescent="0.25">
      <c r="A305" s="475"/>
      <c r="B305" s="393"/>
      <c r="C305" s="393"/>
      <c r="D305" s="393"/>
      <c r="E305" s="393"/>
      <c r="F305" s="393"/>
      <c r="G305" s="393"/>
      <c r="H305" s="393"/>
    </row>
    <row r="306" spans="1:8" x14ac:dyDescent="0.25">
      <c r="A306" s="300" t="s">
        <v>481</v>
      </c>
      <c r="B306" s="301">
        <v>0</v>
      </c>
      <c r="C306" s="301">
        <v>0</v>
      </c>
      <c r="D306" s="301">
        <v>130392.9</v>
      </c>
      <c r="E306" s="301">
        <v>0</v>
      </c>
      <c r="F306" s="301">
        <v>130392.9</v>
      </c>
      <c r="G306" s="477">
        <v>0</v>
      </c>
      <c r="H306" s="477"/>
    </row>
    <row r="307" spans="1:8" x14ac:dyDescent="0.25">
      <c r="A307" s="300" t="s">
        <v>482</v>
      </c>
      <c r="B307" s="301">
        <v>0</v>
      </c>
      <c r="C307" s="301">
        <v>0</v>
      </c>
      <c r="D307" s="301">
        <v>89936.36</v>
      </c>
      <c r="E307" s="301">
        <v>0</v>
      </c>
      <c r="F307" s="301">
        <v>89936.36</v>
      </c>
      <c r="G307" s="477">
        <v>0</v>
      </c>
      <c r="H307" s="477"/>
    </row>
    <row r="308" spans="1:8" x14ac:dyDescent="0.25">
      <c r="A308" s="487" t="s">
        <v>483</v>
      </c>
      <c r="B308" s="301">
        <v>0</v>
      </c>
      <c r="C308" s="301">
        <v>0</v>
      </c>
      <c r="D308" s="301">
        <v>2572.31</v>
      </c>
      <c r="E308" s="301">
        <v>0</v>
      </c>
      <c r="F308" s="301">
        <v>2572.31</v>
      </c>
      <c r="G308" s="490">
        <v>0</v>
      </c>
      <c r="H308" s="490"/>
    </row>
    <row r="309" spans="1:8" x14ac:dyDescent="0.25">
      <c r="A309" s="488"/>
      <c r="B309" s="393"/>
      <c r="C309" s="393"/>
      <c r="D309" s="393"/>
      <c r="E309" s="393"/>
      <c r="F309" s="393"/>
      <c r="G309" s="393"/>
      <c r="H309" s="393"/>
    </row>
    <row r="310" spans="1:8" x14ac:dyDescent="0.25">
      <c r="A310" s="300" t="s">
        <v>484</v>
      </c>
      <c r="B310" s="301">
        <v>0</v>
      </c>
      <c r="C310" s="301">
        <v>0</v>
      </c>
      <c r="D310" s="301">
        <v>2188.37</v>
      </c>
      <c r="E310" s="301">
        <v>0</v>
      </c>
      <c r="F310" s="301">
        <v>2188.37</v>
      </c>
      <c r="G310" s="477">
        <v>0</v>
      </c>
      <c r="H310" s="477"/>
    </row>
    <row r="311" spans="1:8" x14ac:dyDescent="0.25">
      <c r="A311" s="474" t="s">
        <v>485</v>
      </c>
      <c r="B311" s="390">
        <v>0</v>
      </c>
      <c r="C311" s="390">
        <v>0</v>
      </c>
      <c r="D311" s="390">
        <v>57551.41</v>
      </c>
      <c r="E311" s="390">
        <v>0</v>
      </c>
      <c r="F311" s="390">
        <v>57551.41</v>
      </c>
      <c r="G311" s="476">
        <v>0</v>
      </c>
      <c r="H311" s="476"/>
    </row>
    <row r="312" spans="1:8" x14ac:dyDescent="0.25">
      <c r="A312" s="475"/>
      <c r="B312" s="393"/>
      <c r="C312" s="393"/>
      <c r="D312" s="393"/>
      <c r="E312" s="393"/>
      <c r="F312" s="393"/>
      <c r="G312" s="393"/>
      <c r="H312" s="393"/>
    </row>
    <row r="313" spans="1:8" x14ac:dyDescent="0.25">
      <c r="A313" s="300" t="s">
        <v>486</v>
      </c>
      <c r="B313" s="301">
        <v>0</v>
      </c>
      <c r="C313" s="301">
        <v>0</v>
      </c>
      <c r="D313" s="301">
        <v>55951.21</v>
      </c>
      <c r="E313" s="301">
        <v>0</v>
      </c>
      <c r="F313" s="301">
        <v>55951.21</v>
      </c>
      <c r="G313" s="477">
        <v>0</v>
      </c>
      <c r="H313" s="477"/>
    </row>
    <row r="314" spans="1:8" x14ac:dyDescent="0.25">
      <c r="A314" s="300" t="s">
        <v>487</v>
      </c>
      <c r="B314" s="301">
        <v>0</v>
      </c>
      <c r="C314" s="301">
        <v>0</v>
      </c>
      <c r="D314" s="301">
        <v>1600.2</v>
      </c>
      <c r="E314" s="301">
        <v>0</v>
      </c>
      <c r="F314" s="301">
        <v>1600.2</v>
      </c>
      <c r="G314" s="477">
        <v>0</v>
      </c>
      <c r="H314" s="477"/>
    </row>
    <row r="315" spans="1:8" x14ac:dyDescent="0.25">
      <c r="A315" s="474" t="s">
        <v>488</v>
      </c>
      <c r="B315" s="390">
        <v>0</v>
      </c>
      <c r="C315" s="390">
        <v>0</v>
      </c>
      <c r="D315" s="390">
        <v>2645.6</v>
      </c>
      <c r="E315" s="390">
        <v>0</v>
      </c>
      <c r="F315" s="390">
        <v>2645.6</v>
      </c>
      <c r="G315" s="476">
        <v>0</v>
      </c>
      <c r="H315" s="476"/>
    </row>
    <row r="316" spans="1:8" x14ac:dyDescent="0.25">
      <c r="A316" s="475"/>
      <c r="B316" s="393"/>
      <c r="C316" s="393"/>
      <c r="D316" s="393"/>
      <c r="E316" s="393"/>
      <c r="F316" s="393"/>
      <c r="G316" s="393"/>
      <c r="H316" s="393"/>
    </row>
    <row r="317" spans="1:8" x14ac:dyDescent="0.25">
      <c r="A317" s="474" t="s">
        <v>489</v>
      </c>
      <c r="B317" s="390">
        <v>0</v>
      </c>
      <c r="C317" s="390">
        <v>0</v>
      </c>
      <c r="D317" s="390">
        <v>2645.6</v>
      </c>
      <c r="E317" s="390">
        <v>0</v>
      </c>
      <c r="F317" s="390">
        <v>2645.6</v>
      </c>
      <c r="G317" s="476">
        <v>0</v>
      </c>
      <c r="H317" s="476"/>
    </row>
    <row r="318" spans="1:8" x14ac:dyDescent="0.25">
      <c r="A318" s="475"/>
      <c r="B318" s="393"/>
      <c r="C318" s="393"/>
      <c r="D318" s="393"/>
      <c r="E318" s="393"/>
      <c r="F318" s="393"/>
      <c r="G318" s="393"/>
      <c r="H318" s="393"/>
    </row>
    <row r="319" spans="1:8" x14ac:dyDescent="0.25">
      <c r="A319" s="300" t="s">
        <v>490</v>
      </c>
      <c r="B319" s="301">
        <v>0</v>
      </c>
      <c r="C319" s="301">
        <v>0</v>
      </c>
      <c r="D319" s="301">
        <v>888.53</v>
      </c>
      <c r="E319" s="301">
        <v>0</v>
      </c>
      <c r="F319" s="301">
        <v>888.53</v>
      </c>
      <c r="G319" s="477">
        <v>0</v>
      </c>
      <c r="H319" s="477"/>
    </row>
    <row r="320" spans="1:8" x14ac:dyDescent="0.25">
      <c r="A320" s="300" t="s">
        <v>491</v>
      </c>
      <c r="B320" s="301">
        <v>0</v>
      </c>
      <c r="C320" s="301">
        <v>0</v>
      </c>
      <c r="D320" s="301">
        <v>1757.07</v>
      </c>
      <c r="E320" s="301">
        <v>0</v>
      </c>
      <c r="F320" s="301">
        <v>1757.07</v>
      </c>
      <c r="G320" s="477">
        <v>0</v>
      </c>
      <c r="H320" s="477"/>
    </row>
    <row r="321" spans="1:8" x14ac:dyDescent="0.25">
      <c r="A321" s="474" t="s">
        <v>492</v>
      </c>
      <c r="B321" s="390">
        <v>0</v>
      </c>
      <c r="C321" s="390">
        <v>0</v>
      </c>
      <c r="D321" s="390">
        <v>2543.04</v>
      </c>
      <c r="E321" s="390">
        <v>0</v>
      </c>
      <c r="F321" s="390">
        <v>2543.04</v>
      </c>
      <c r="G321" s="476">
        <v>0</v>
      </c>
      <c r="H321" s="476"/>
    </row>
    <row r="322" spans="1:8" x14ac:dyDescent="0.25">
      <c r="A322" s="475"/>
      <c r="B322" s="393"/>
      <c r="C322" s="393"/>
      <c r="D322" s="393"/>
      <c r="E322" s="393"/>
      <c r="F322" s="393"/>
      <c r="G322" s="393"/>
      <c r="H322" s="393"/>
    </row>
    <row r="323" spans="1:8" x14ac:dyDescent="0.25">
      <c r="A323" s="391" t="s">
        <v>493</v>
      </c>
      <c r="B323" s="390">
        <v>0</v>
      </c>
      <c r="C323" s="390">
        <v>0</v>
      </c>
      <c r="D323" s="390">
        <v>2035.09</v>
      </c>
      <c r="E323" s="390">
        <v>0</v>
      </c>
      <c r="F323" s="390">
        <v>2035.09</v>
      </c>
      <c r="G323" s="489">
        <v>0</v>
      </c>
      <c r="H323" s="489"/>
    </row>
    <row r="324" spans="1:8" x14ac:dyDescent="0.25">
      <c r="A324" s="300" t="s">
        <v>494</v>
      </c>
      <c r="B324" s="301">
        <v>0</v>
      </c>
      <c r="C324" s="301">
        <v>0</v>
      </c>
      <c r="D324" s="301">
        <v>1582.2</v>
      </c>
      <c r="E324" s="301">
        <v>0</v>
      </c>
      <c r="F324" s="301">
        <v>1582.2</v>
      </c>
      <c r="G324" s="477">
        <v>0</v>
      </c>
      <c r="H324" s="477"/>
    </row>
    <row r="325" spans="1:8" x14ac:dyDescent="0.25">
      <c r="A325" s="300" t="s">
        <v>555</v>
      </c>
      <c r="B325" s="301">
        <v>0</v>
      </c>
      <c r="C325" s="301">
        <v>0</v>
      </c>
      <c r="D325" s="301">
        <v>452.89</v>
      </c>
      <c r="E325" s="301">
        <v>0</v>
      </c>
      <c r="F325" s="301">
        <v>452.89</v>
      </c>
      <c r="G325" s="477">
        <v>0</v>
      </c>
      <c r="H325" s="477"/>
    </row>
    <row r="326" spans="1:8" x14ac:dyDescent="0.25">
      <c r="A326" s="487" t="s">
        <v>495</v>
      </c>
      <c r="B326" s="301">
        <v>0</v>
      </c>
      <c r="C326" s="301">
        <v>0</v>
      </c>
      <c r="D326" s="301">
        <v>507.95</v>
      </c>
      <c r="E326" s="301">
        <v>0</v>
      </c>
      <c r="F326" s="301">
        <v>507.95</v>
      </c>
      <c r="G326" s="490">
        <v>0</v>
      </c>
      <c r="H326" s="490"/>
    </row>
    <row r="327" spans="1:8" x14ac:dyDescent="0.25">
      <c r="A327" s="488"/>
      <c r="B327" s="393"/>
      <c r="C327" s="393"/>
      <c r="D327" s="393"/>
      <c r="E327" s="393"/>
      <c r="F327" s="393"/>
      <c r="G327" s="393"/>
      <c r="H327" s="393"/>
    </row>
    <row r="328" spans="1:8" x14ac:dyDescent="0.25">
      <c r="A328" s="391" t="s">
        <v>496</v>
      </c>
      <c r="B328" s="390">
        <v>0</v>
      </c>
      <c r="C328" s="390">
        <v>0</v>
      </c>
      <c r="D328" s="390">
        <v>4515.88</v>
      </c>
      <c r="E328" s="390">
        <v>0</v>
      </c>
      <c r="F328" s="390">
        <v>4515.88</v>
      </c>
      <c r="G328" s="489">
        <v>0</v>
      </c>
      <c r="H328" s="489"/>
    </row>
    <row r="329" spans="1:8" x14ac:dyDescent="0.25">
      <c r="A329" s="300" t="s">
        <v>497</v>
      </c>
      <c r="B329" s="301">
        <v>0</v>
      </c>
      <c r="C329" s="301">
        <v>0</v>
      </c>
      <c r="D329" s="301">
        <v>93.98</v>
      </c>
      <c r="E329" s="301">
        <v>0</v>
      </c>
      <c r="F329" s="301">
        <v>93.98</v>
      </c>
      <c r="G329" s="477">
        <v>0</v>
      </c>
      <c r="H329" s="477"/>
    </row>
    <row r="330" spans="1:8" x14ac:dyDescent="0.25">
      <c r="A330" s="300" t="s">
        <v>498</v>
      </c>
      <c r="B330" s="301">
        <v>0</v>
      </c>
      <c r="C330" s="301">
        <v>0</v>
      </c>
      <c r="D330" s="301">
        <v>700</v>
      </c>
      <c r="E330" s="301">
        <v>0</v>
      </c>
      <c r="F330" s="301">
        <v>700</v>
      </c>
      <c r="G330" s="477">
        <v>0</v>
      </c>
      <c r="H330" s="477"/>
    </row>
    <row r="331" spans="1:8" x14ac:dyDescent="0.25">
      <c r="A331" s="300" t="s">
        <v>499</v>
      </c>
      <c r="B331" s="301">
        <v>0</v>
      </c>
      <c r="C331" s="301">
        <v>0</v>
      </c>
      <c r="D331" s="301">
        <v>3721.9</v>
      </c>
      <c r="E331" s="301">
        <v>0</v>
      </c>
      <c r="F331" s="301">
        <v>3721.9</v>
      </c>
      <c r="G331" s="477">
        <v>0</v>
      </c>
      <c r="H331" s="477"/>
    </row>
    <row r="332" spans="1:8" x14ac:dyDescent="0.25">
      <c r="A332" s="391" t="s">
        <v>500</v>
      </c>
      <c r="B332" s="390">
        <v>0</v>
      </c>
      <c r="C332" s="390">
        <v>0</v>
      </c>
      <c r="D332" s="390">
        <v>12512.8</v>
      </c>
      <c r="E332" s="390">
        <v>0</v>
      </c>
      <c r="F332" s="390">
        <v>12512.8</v>
      </c>
      <c r="G332" s="489">
        <v>0</v>
      </c>
      <c r="H332" s="489"/>
    </row>
    <row r="333" spans="1:8" x14ac:dyDescent="0.25">
      <c r="A333" s="300" t="s">
        <v>501</v>
      </c>
      <c r="B333" s="301">
        <v>0</v>
      </c>
      <c r="C333" s="301">
        <v>0</v>
      </c>
      <c r="D333" s="301">
        <v>524.27</v>
      </c>
      <c r="E333" s="301">
        <v>0</v>
      </c>
      <c r="F333" s="301">
        <v>524.27</v>
      </c>
      <c r="G333" s="477">
        <v>0</v>
      </c>
      <c r="H333" s="477"/>
    </row>
    <row r="334" spans="1:8" x14ac:dyDescent="0.25">
      <c r="A334" s="300" t="s">
        <v>502</v>
      </c>
      <c r="B334" s="301">
        <v>0</v>
      </c>
      <c r="C334" s="301">
        <v>0</v>
      </c>
      <c r="D334" s="301">
        <v>417.18</v>
      </c>
      <c r="E334" s="301">
        <v>0</v>
      </c>
      <c r="F334" s="301">
        <v>417.18</v>
      </c>
      <c r="G334" s="477">
        <v>0</v>
      </c>
      <c r="H334" s="477"/>
    </row>
    <row r="335" spans="1:8" x14ac:dyDescent="0.25">
      <c r="A335" s="300" t="s">
        <v>503</v>
      </c>
      <c r="B335" s="301">
        <v>0</v>
      </c>
      <c r="C335" s="301">
        <v>0</v>
      </c>
      <c r="D335" s="301">
        <v>10273.85</v>
      </c>
      <c r="E335" s="301">
        <v>0</v>
      </c>
      <c r="F335" s="301">
        <v>10273.85</v>
      </c>
      <c r="G335" s="477">
        <v>0</v>
      </c>
      <c r="H335" s="477"/>
    </row>
    <row r="336" spans="1:8" x14ac:dyDescent="0.25">
      <c r="A336" s="300" t="s">
        <v>504</v>
      </c>
      <c r="B336" s="301">
        <v>0</v>
      </c>
      <c r="C336" s="301">
        <v>0</v>
      </c>
      <c r="D336" s="301">
        <v>1122.45</v>
      </c>
      <c r="E336" s="301">
        <v>0</v>
      </c>
      <c r="F336" s="301">
        <v>1122.45</v>
      </c>
      <c r="G336" s="477">
        <v>0</v>
      </c>
      <c r="H336" s="477"/>
    </row>
    <row r="337" spans="1:8" x14ac:dyDescent="0.25">
      <c r="A337" s="300" t="s">
        <v>505</v>
      </c>
      <c r="B337" s="301">
        <v>0</v>
      </c>
      <c r="C337" s="301">
        <v>0</v>
      </c>
      <c r="D337" s="301">
        <v>175.05</v>
      </c>
      <c r="E337" s="301">
        <v>0</v>
      </c>
      <c r="F337" s="301">
        <v>175.05</v>
      </c>
      <c r="G337" s="477">
        <v>0</v>
      </c>
      <c r="H337" s="477"/>
    </row>
    <row r="338" spans="1:8" x14ac:dyDescent="0.25">
      <c r="A338" s="391" t="s">
        <v>506</v>
      </c>
      <c r="B338" s="390">
        <v>0</v>
      </c>
      <c r="C338" s="390">
        <v>0</v>
      </c>
      <c r="D338" s="390">
        <v>900.8</v>
      </c>
      <c r="E338" s="390">
        <v>305.12</v>
      </c>
      <c r="F338" s="390">
        <v>595.67999999999995</v>
      </c>
      <c r="G338" s="489">
        <v>0</v>
      </c>
      <c r="H338" s="489"/>
    </row>
    <row r="339" spans="1:8" x14ac:dyDescent="0.25">
      <c r="A339" s="300" t="s">
        <v>507</v>
      </c>
      <c r="B339" s="301">
        <v>0</v>
      </c>
      <c r="C339" s="301">
        <v>0</v>
      </c>
      <c r="D339" s="301">
        <v>900.8</v>
      </c>
      <c r="E339" s="301">
        <v>305.12</v>
      </c>
      <c r="F339" s="301">
        <v>595.67999999999995</v>
      </c>
      <c r="G339" s="477">
        <v>0</v>
      </c>
      <c r="H339" s="477"/>
    </row>
    <row r="340" spans="1:8" x14ac:dyDescent="0.25">
      <c r="A340" s="474" t="s">
        <v>508</v>
      </c>
      <c r="B340" s="390">
        <v>0</v>
      </c>
      <c r="C340" s="390">
        <v>0</v>
      </c>
      <c r="D340" s="390">
        <v>42354.54</v>
      </c>
      <c r="E340" s="390">
        <v>0</v>
      </c>
      <c r="F340" s="390">
        <v>42354.54</v>
      </c>
      <c r="G340" s="476">
        <v>0</v>
      </c>
      <c r="H340" s="476"/>
    </row>
    <row r="341" spans="1:8" x14ac:dyDescent="0.25">
      <c r="A341" s="475"/>
      <c r="B341" s="393"/>
      <c r="C341" s="393"/>
      <c r="D341" s="393"/>
      <c r="E341" s="393"/>
      <c r="F341" s="393"/>
      <c r="G341" s="393"/>
      <c r="H341" s="393"/>
    </row>
    <row r="342" spans="1:8" x14ac:dyDescent="0.25">
      <c r="A342" s="474" t="s">
        <v>509</v>
      </c>
      <c r="B342" s="390">
        <v>0</v>
      </c>
      <c r="C342" s="390">
        <v>0</v>
      </c>
      <c r="D342" s="390">
        <v>42354.54</v>
      </c>
      <c r="E342" s="390">
        <v>0</v>
      </c>
      <c r="F342" s="390">
        <v>42354.54</v>
      </c>
      <c r="G342" s="476">
        <v>0</v>
      </c>
      <c r="H342" s="476"/>
    </row>
    <row r="343" spans="1:8" x14ac:dyDescent="0.25">
      <c r="A343" s="475"/>
      <c r="B343" s="393"/>
      <c r="C343" s="393"/>
      <c r="D343" s="393"/>
      <c r="E343" s="393"/>
      <c r="F343" s="393"/>
      <c r="G343" s="393"/>
      <c r="H343" s="393"/>
    </row>
    <row r="344" spans="1:8" x14ac:dyDescent="0.25">
      <c r="A344" s="300" t="s">
        <v>510</v>
      </c>
      <c r="B344" s="301">
        <v>0</v>
      </c>
      <c r="C344" s="301">
        <v>0</v>
      </c>
      <c r="D344" s="301">
        <v>13490.66</v>
      </c>
      <c r="E344" s="301">
        <v>0</v>
      </c>
      <c r="F344" s="301">
        <v>13490.66</v>
      </c>
      <c r="G344" s="477">
        <v>0</v>
      </c>
      <c r="H344" s="477"/>
    </row>
    <row r="345" spans="1:8" x14ac:dyDescent="0.25">
      <c r="A345" s="300" t="s">
        <v>511</v>
      </c>
      <c r="B345" s="301">
        <v>0</v>
      </c>
      <c r="C345" s="301">
        <v>0</v>
      </c>
      <c r="D345" s="301">
        <v>14609.6</v>
      </c>
      <c r="E345" s="301">
        <v>0</v>
      </c>
      <c r="F345" s="301">
        <v>14609.6</v>
      </c>
      <c r="G345" s="477">
        <v>0</v>
      </c>
      <c r="H345" s="477"/>
    </row>
    <row r="346" spans="1:8" x14ac:dyDescent="0.25">
      <c r="A346" s="300" t="s">
        <v>512</v>
      </c>
      <c r="B346" s="301">
        <v>0</v>
      </c>
      <c r="C346" s="301">
        <v>0</v>
      </c>
      <c r="D346" s="301">
        <v>11822.53</v>
      </c>
      <c r="E346" s="301">
        <v>0</v>
      </c>
      <c r="F346" s="301">
        <v>11822.53</v>
      </c>
      <c r="G346" s="477">
        <v>0</v>
      </c>
      <c r="H346" s="477"/>
    </row>
    <row r="347" spans="1:8" x14ac:dyDescent="0.25">
      <c r="A347" s="300" t="s">
        <v>513</v>
      </c>
      <c r="B347" s="301">
        <v>0</v>
      </c>
      <c r="C347" s="301">
        <v>0</v>
      </c>
      <c r="D347" s="301">
        <v>469.96</v>
      </c>
      <c r="E347" s="301">
        <v>0</v>
      </c>
      <c r="F347" s="301">
        <v>469.96</v>
      </c>
      <c r="G347" s="477">
        <v>0</v>
      </c>
      <c r="H347" s="477"/>
    </row>
    <row r="348" spans="1:8" x14ac:dyDescent="0.25">
      <c r="A348" s="300" t="s">
        <v>514</v>
      </c>
      <c r="B348" s="301">
        <v>0</v>
      </c>
      <c r="C348" s="301">
        <v>0</v>
      </c>
      <c r="D348" s="301">
        <v>1961.79</v>
      </c>
      <c r="E348" s="301">
        <v>0</v>
      </c>
      <c r="F348" s="301">
        <v>1961.79</v>
      </c>
      <c r="G348" s="477">
        <v>0</v>
      </c>
      <c r="H348" s="477"/>
    </row>
    <row r="349" spans="1:8" x14ac:dyDescent="0.25">
      <c r="A349" s="391" t="s">
        <v>515</v>
      </c>
      <c r="B349" s="390">
        <v>0</v>
      </c>
      <c r="C349" s="390">
        <v>0</v>
      </c>
      <c r="D349" s="390">
        <v>22200.5</v>
      </c>
      <c r="E349" s="390">
        <v>0</v>
      </c>
      <c r="F349" s="390">
        <v>22200.5</v>
      </c>
      <c r="G349" s="489">
        <v>0</v>
      </c>
      <c r="H349" s="489"/>
    </row>
    <row r="350" spans="1:8" x14ac:dyDescent="0.25">
      <c r="A350" s="300" t="s">
        <v>516</v>
      </c>
      <c r="B350" s="301">
        <v>0</v>
      </c>
      <c r="C350" s="301">
        <v>0</v>
      </c>
      <c r="D350" s="301">
        <v>22200.5</v>
      </c>
      <c r="E350" s="301">
        <v>0</v>
      </c>
      <c r="F350" s="301">
        <v>22200.5</v>
      </c>
      <c r="G350" s="490">
        <v>0</v>
      </c>
      <c r="H350" s="490"/>
    </row>
    <row r="351" spans="1:8" x14ac:dyDescent="0.25">
      <c r="A351" s="393"/>
      <c r="B351" s="393"/>
      <c r="C351" s="393"/>
      <c r="D351" s="393"/>
      <c r="E351" s="393"/>
      <c r="F351" s="393"/>
      <c r="G351" s="393"/>
      <c r="H351" s="393"/>
    </row>
    <row r="352" spans="1:8" x14ac:dyDescent="0.25">
      <c r="A352" s="302" t="s">
        <v>267</v>
      </c>
      <c r="B352" s="479" t="s">
        <v>268</v>
      </c>
      <c r="C352" s="479"/>
      <c r="D352" s="479"/>
      <c r="E352" s="479"/>
      <c r="F352" s="479"/>
      <c r="G352" s="393"/>
      <c r="H352" s="393"/>
    </row>
    <row r="353" spans="1:8" x14ac:dyDescent="0.25">
      <c r="A353" s="302" t="s">
        <v>633</v>
      </c>
      <c r="B353" s="480" t="s">
        <v>269</v>
      </c>
      <c r="C353" s="480"/>
      <c r="D353" s="480"/>
      <c r="E353" s="480"/>
      <c r="F353" s="480"/>
      <c r="G353" s="302" t="s">
        <v>556</v>
      </c>
      <c r="H353" s="393"/>
    </row>
    <row r="354" spans="1:8" x14ac:dyDescent="0.25">
      <c r="A354" s="481" t="s">
        <v>271</v>
      </c>
      <c r="B354" s="481"/>
      <c r="C354" s="481"/>
      <c r="D354" s="481"/>
      <c r="E354" s="481"/>
      <c r="F354" s="481"/>
      <c r="G354" s="481"/>
      <c r="H354" s="481"/>
    </row>
    <row r="355" spans="1:8" x14ac:dyDescent="0.25">
      <c r="A355" s="393"/>
      <c r="B355" s="393"/>
      <c r="C355" s="393"/>
      <c r="D355" s="393"/>
      <c r="E355" s="393"/>
      <c r="F355" s="393"/>
      <c r="G355" s="393"/>
      <c r="H355" s="393"/>
    </row>
    <row r="356" spans="1:8" x14ac:dyDescent="0.25">
      <c r="A356" s="482" t="s">
        <v>272</v>
      </c>
      <c r="B356" s="484" t="s">
        <v>273</v>
      </c>
      <c r="C356" s="484"/>
      <c r="D356" s="484" t="s">
        <v>274</v>
      </c>
      <c r="E356" s="484"/>
      <c r="F356" s="484" t="s">
        <v>275</v>
      </c>
      <c r="G356" s="484"/>
      <c r="H356" s="485"/>
    </row>
    <row r="357" spans="1:8" x14ac:dyDescent="0.25">
      <c r="A357" s="483"/>
      <c r="B357" s="389" t="s">
        <v>276</v>
      </c>
      <c r="C357" s="389" t="s">
        <v>277</v>
      </c>
      <c r="D357" s="389" t="s">
        <v>276</v>
      </c>
      <c r="E357" s="389" t="s">
        <v>277</v>
      </c>
      <c r="F357" s="389" t="s">
        <v>276</v>
      </c>
      <c r="G357" s="492" t="s">
        <v>277</v>
      </c>
      <c r="H357" s="493"/>
    </row>
    <row r="358" spans="1:8" x14ac:dyDescent="0.25">
      <c r="A358" s="391" t="s">
        <v>517</v>
      </c>
      <c r="B358" s="390">
        <v>0</v>
      </c>
      <c r="C358" s="390">
        <v>0</v>
      </c>
      <c r="D358" s="390">
        <v>51972.86</v>
      </c>
      <c r="E358" s="390">
        <v>0</v>
      </c>
      <c r="F358" s="390">
        <v>51972.86</v>
      </c>
      <c r="G358" s="473">
        <v>0</v>
      </c>
      <c r="H358" s="473"/>
    </row>
    <row r="359" spans="1:8" x14ac:dyDescent="0.25">
      <c r="A359" s="300" t="s">
        <v>518</v>
      </c>
      <c r="B359" s="301">
        <v>0</v>
      </c>
      <c r="C359" s="301">
        <v>0</v>
      </c>
      <c r="D359" s="301">
        <v>18560</v>
      </c>
      <c r="E359" s="301">
        <v>0</v>
      </c>
      <c r="F359" s="301">
        <v>18560</v>
      </c>
      <c r="G359" s="477">
        <v>0</v>
      </c>
      <c r="H359" s="477"/>
    </row>
    <row r="360" spans="1:8" x14ac:dyDescent="0.25">
      <c r="A360" s="487" t="s">
        <v>519</v>
      </c>
      <c r="B360" s="301">
        <v>0</v>
      </c>
      <c r="C360" s="301">
        <v>0</v>
      </c>
      <c r="D360" s="301">
        <v>1640.97</v>
      </c>
      <c r="E360" s="301">
        <v>0</v>
      </c>
      <c r="F360" s="301">
        <v>1640.97</v>
      </c>
      <c r="G360" s="490">
        <v>0</v>
      </c>
      <c r="H360" s="490"/>
    </row>
    <row r="361" spans="1:8" x14ac:dyDescent="0.25">
      <c r="A361" s="488"/>
      <c r="B361" s="393"/>
      <c r="C361" s="393"/>
      <c r="D361" s="393"/>
      <c r="E361" s="393"/>
      <c r="F361" s="393"/>
      <c r="G361" s="393"/>
      <c r="H361" s="393"/>
    </row>
    <row r="362" spans="1:8" x14ac:dyDescent="0.25">
      <c r="A362" s="300" t="s">
        <v>520</v>
      </c>
      <c r="B362" s="301">
        <v>0</v>
      </c>
      <c r="C362" s="301">
        <v>0</v>
      </c>
      <c r="D362" s="301">
        <v>13297.11</v>
      </c>
      <c r="E362" s="301">
        <v>0</v>
      </c>
      <c r="F362" s="301">
        <v>13297.11</v>
      </c>
      <c r="G362" s="477">
        <v>0</v>
      </c>
      <c r="H362" s="477"/>
    </row>
    <row r="363" spans="1:8" x14ac:dyDescent="0.25">
      <c r="A363" s="300" t="s">
        <v>521</v>
      </c>
      <c r="B363" s="301">
        <v>0</v>
      </c>
      <c r="C363" s="301">
        <v>0</v>
      </c>
      <c r="D363" s="301">
        <v>17892.5</v>
      </c>
      <c r="E363" s="301">
        <v>0</v>
      </c>
      <c r="F363" s="301">
        <v>17892.5</v>
      </c>
      <c r="G363" s="477">
        <v>0</v>
      </c>
      <c r="H363" s="477"/>
    </row>
    <row r="364" spans="1:8" x14ac:dyDescent="0.25">
      <c r="A364" s="300" t="s">
        <v>522</v>
      </c>
      <c r="B364" s="301">
        <v>0</v>
      </c>
      <c r="C364" s="301">
        <v>0</v>
      </c>
      <c r="D364" s="301">
        <v>582.28</v>
      </c>
      <c r="E364" s="301">
        <v>0</v>
      </c>
      <c r="F364" s="301">
        <v>582.28</v>
      </c>
      <c r="G364" s="477">
        <v>0</v>
      </c>
      <c r="H364" s="477"/>
    </row>
    <row r="365" spans="1:8" x14ac:dyDescent="0.25">
      <c r="A365" s="391" t="s">
        <v>523</v>
      </c>
      <c r="B365" s="390">
        <v>0</v>
      </c>
      <c r="C365" s="390">
        <v>0</v>
      </c>
      <c r="D365" s="390">
        <v>1992.95</v>
      </c>
      <c r="E365" s="390">
        <v>0</v>
      </c>
      <c r="F365" s="390">
        <v>1992.95</v>
      </c>
      <c r="G365" s="489">
        <v>0</v>
      </c>
      <c r="H365" s="489"/>
    </row>
    <row r="366" spans="1:8" x14ac:dyDescent="0.25">
      <c r="A366" s="300" t="s">
        <v>524</v>
      </c>
      <c r="B366" s="301">
        <v>0</v>
      </c>
      <c r="C366" s="301">
        <v>0</v>
      </c>
      <c r="D366" s="301">
        <v>1329.18</v>
      </c>
      <c r="E366" s="301">
        <v>0</v>
      </c>
      <c r="F366" s="301">
        <v>1329.18</v>
      </c>
      <c r="G366" s="477">
        <v>0</v>
      </c>
      <c r="H366" s="477"/>
    </row>
    <row r="367" spans="1:8" x14ac:dyDescent="0.25">
      <c r="A367" s="300" t="s">
        <v>525</v>
      </c>
      <c r="B367" s="301">
        <v>0</v>
      </c>
      <c r="C367" s="301">
        <v>0</v>
      </c>
      <c r="D367" s="301">
        <v>663.77</v>
      </c>
      <c r="E367" s="301">
        <v>0</v>
      </c>
      <c r="F367" s="301">
        <v>663.77</v>
      </c>
      <c r="G367" s="477">
        <v>0</v>
      </c>
      <c r="H367" s="477"/>
    </row>
    <row r="368" spans="1:8" x14ac:dyDescent="0.25">
      <c r="A368" s="391" t="s">
        <v>526</v>
      </c>
      <c r="B368" s="390">
        <v>0</v>
      </c>
      <c r="C368" s="390">
        <v>0</v>
      </c>
      <c r="D368" s="390">
        <v>6700.53</v>
      </c>
      <c r="E368" s="390">
        <v>60.44</v>
      </c>
      <c r="F368" s="390">
        <v>6640.09</v>
      </c>
      <c r="G368" s="489">
        <v>0</v>
      </c>
      <c r="H368" s="489"/>
    </row>
    <row r="369" spans="1:8" x14ac:dyDescent="0.25">
      <c r="A369" s="300" t="s">
        <v>527</v>
      </c>
      <c r="B369" s="301">
        <v>0</v>
      </c>
      <c r="C369" s="301">
        <v>0</v>
      </c>
      <c r="D369" s="301">
        <v>59</v>
      </c>
      <c r="E369" s="301">
        <v>0</v>
      </c>
      <c r="F369" s="301">
        <v>59</v>
      </c>
      <c r="G369" s="477">
        <v>0</v>
      </c>
      <c r="H369" s="477"/>
    </row>
    <row r="370" spans="1:8" x14ac:dyDescent="0.25">
      <c r="A370" s="487" t="s">
        <v>528</v>
      </c>
      <c r="B370" s="301">
        <v>0</v>
      </c>
      <c r="C370" s="301">
        <v>0</v>
      </c>
      <c r="D370" s="301">
        <v>6399.23</v>
      </c>
      <c r="E370" s="301">
        <v>60.44</v>
      </c>
      <c r="F370" s="301">
        <v>6338.79</v>
      </c>
      <c r="G370" s="490">
        <v>0</v>
      </c>
      <c r="H370" s="490"/>
    </row>
    <row r="371" spans="1:8" x14ac:dyDescent="0.25">
      <c r="A371" s="488"/>
      <c r="B371" s="393"/>
      <c r="C371" s="393"/>
      <c r="D371" s="393"/>
      <c r="E371" s="393"/>
      <c r="F371" s="393"/>
      <c r="G371" s="393"/>
      <c r="H371" s="393"/>
    </row>
    <row r="372" spans="1:8" x14ac:dyDescent="0.25">
      <c r="A372" s="300" t="s">
        <v>529</v>
      </c>
      <c r="B372" s="301">
        <v>0</v>
      </c>
      <c r="C372" s="301">
        <v>0</v>
      </c>
      <c r="D372" s="301">
        <v>242.3</v>
      </c>
      <c r="E372" s="301">
        <v>0</v>
      </c>
      <c r="F372" s="301">
        <v>242.3</v>
      </c>
      <c r="G372" s="477">
        <v>0</v>
      </c>
      <c r="H372" s="477"/>
    </row>
    <row r="373" spans="1:8" x14ac:dyDescent="0.25">
      <c r="A373" s="391" t="s">
        <v>530</v>
      </c>
      <c r="B373" s="390">
        <v>0</v>
      </c>
      <c r="C373" s="390">
        <v>0</v>
      </c>
      <c r="D373" s="390">
        <v>37601.919999999998</v>
      </c>
      <c r="E373" s="390">
        <v>37161.08</v>
      </c>
      <c r="F373" s="390">
        <v>440.84</v>
      </c>
      <c r="G373" s="489">
        <v>0</v>
      </c>
      <c r="H373" s="489"/>
    </row>
    <row r="374" spans="1:8" x14ac:dyDescent="0.25">
      <c r="A374" s="300" t="s">
        <v>557</v>
      </c>
      <c r="B374" s="301">
        <v>0</v>
      </c>
      <c r="C374" s="301">
        <v>0</v>
      </c>
      <c r="D374" s="301">
        <v>37165.72</v>
      </c>
      <c r="E374" s="301">
        <v>37161.08</v>
      </c>
      <c r="F374" s="301">
        <v>4.6399999999999997</v>
      </c>
      <c r="G374" s="477">
        <v>0</v>
      </c>
      <c r="H374" s="477"/>
    </row>
    <row r="375" spans="1:8" x14ac:dyDescent="0.25">
      <c r="A375" s="300" t="s">
        <v>531</v>
      </c>
      <c r="B375" s="301">
        <v>0</v>
      </c>
      <c r="C375" s="301">
        <v>0</v>
      </c>
      <c r="D375" s="301">
        <v>436.2</v>
      </c>
      <c r="E375" s="301">
        <v>0</v>
      </c>
      <c r="F375" s="301">
        <v>436.2</v>
      </c>
      <c r="G375" s="477">
        <v>0</v>
      </c>
      <c r="H375" s="477"/>
    </row>
    <row r="376" spans="1:8" x14ac:dyDescent="0.25">
      <c r="A376" s="474" t="s">
        <v>532</v>
      </c>
      <c r="B376" s="390">
        <v>0</v>
      </c>
      <c r="C376" s="390">
        <v>0</v>
      </c>
      <c r="D376" s="390">
        <v>49906.33</v>
      </c>
      <c r="E376" s="390">
        <v>-212.5</v>
      </c>
      <c r="F376" s="390">
        <v>50118.83</v>
      </c>
      <c r="G376" s="476">
        <v>0</v>
      </c>
      <c r="H376" s="476"/>
    </row>
    <row r="377" spans="1:8" x14ac:dyDescent="0.25">
      <c r="A377" s="475"/>
      <c r="B377" s="393"/>
      <c r="C377" s="393"/>
      <c r="D377" s="393"/>
      <c r="E377" s="393"/>
      <c r="F377" s="393"/>
      <c r="G377" s="393"/>
      <c r="H377" s="393"/>
    </row>
    <row r="378" spans="1:8" x14ac:dyDescent="0.25">
      <c r="A378" s="474" t="s">
        <v>533</v>
      </c>
      <c r="B378" s="390">
        <v>0</v>
      </c>
      <c r="C378" s="390">
        <v>0</v>
      </c>
      <c r="D378" s="390">
        <v>49906.33</v>
      </c>
      <c r="E378" s="390">
        <v>-212.5</v>
      </c>
      <c r="F378" s="390">
        <v>50118.83</v>
      </c>
      <c r="G378" s="476">
        <v>0</v>
      </c>
      <c r="H378" s="476"/>
    </row>
    <row r="379" spans="1:8" x14ac:dyDescent="0.25">
      <c r="A379" s="475"/>
      <c r="B379" s="393"/>
      <c r="C379" s="393"/>
      <c r="D379" s="393"/>
      <c r="E379" s="393"/>
      <c r="F379" s="393"/>
      <c r="G379" s="393"/>
      <c r="H379" s="393"/>
    </row>
    <row r="380" spans="1:8" x14ac:dyDescent="0.25">
      <c r="A380" s="300" t="s">
        <v>534</v>
      </c>
      <c r="B380" s="301">
        <v>0</v>
      </c>
      <c r="C380" s="301">
        <v>0</v>
      </c>
      <c r="D380" s="301">
        <v>14926.11</v>
      </c>
      <c r="E380" s="301">
        <v>0</v>
      </c>
      <c r="F380" s="301">
        <v>14926.11</v>
      </c>
      <c r="G380" s="477">
        <v>0</v>
      </c>
      <c r="H380" s="477"/>
    </row>
    <row r="381" spans="1:8" x14ac:dyDescent="0.25">
      <c r="A381" s="300" t="s">
        <v>535</v>
      </c>
      <c r="B381" s="301">
        <v>0</v>
      </c>
      <c r="C381" s="301">
        <v>0</v>
      </c>
      <c r="D381" s="301">
        <v>33678.449999999997</v>
      </c>
      <c r="E381" s="301">
        <v>222</v>
      </c>
      <c r="F381" s="301">
        <v>33456.449999999997</v>
      </c>
      <c r="G381" s="477">
        <v>0</v>
      </c>
      <c r="H381" s="477"/>
    </row>
    <row r="382" spans="1:8" x14ac:dyDescent="0.25">
      <c r="A382" s="300" t="s">
        <v>536</v>
      </c>
      <c r="B382" s="301">
        <v>0</v>
      </c>
      <c r="C382" s="301">
        <v>0</v>
      </c>
      <c r="D382" s="301">
        <v>724.14</v>
      </c>
      <c r="E382" s="301">
        <v>-434.5</v>
      </c>
      <c r="F382" s="301">
        <v>1158.6400000000001</v>
      </c>
      <c r="G382" s="477">
        <v>0</v>
      </c>
      <c r="H382" s="477"/>
    </row>
    <row r="383" spans="1:8" x14ac:dyDescent="0.25">
      <c r="A383" s="300" t="s">
        <v>537</v>
      </c>
      <c r="B383" s="301">
        <v>0</v>
      </c>
      <c r="C383" s="301">
        <v>0</v>
      </c>
      <c r="D383" s="301">
        <v>577.63</v>
      </c>
      <c r="E383" s="301">
        <v>0</v>
      </c>
      <c r="F383" s="301">
        <v>577.63</v>
      </c>
      <c r="G383" s="477">
        <v>0</v>
      </c>
      <c r="H383" s="477"/>
    </row>
    <row r="384" spans="1:8" x14ac:dyDescent="0.25">
      <c r="A384" s="300" t="s">
        <v>538</v>
      </c>
      <c r="B384" s="301">
        <v>0</v>
      </c>
      <c r="C384" s="301">
        <v>0</v>
      </c>
      <c r="D384" s="301">
        <v>0</v>
      </c>
      <c r="E384" s="301">
        <v>0</v>
      </c>
      <c r="F384" s="301">
        <v>0</v>
      </c>
      <c r="G384" s="477">
        <v>0</v>
      </c>
      <c r="H384" s="477"/>
    </row>
    <row r="385" spans="1:8" x14ac:dyDescent="0.25">
      <c r="A385" s="391" t="s">
        <v>539</v>
      </c>
      <c r="B385" s="392">
        <v>8961401.6600000001</v>
      </c>
      <c r="C385" s="392">
        <v>8961401.6600000001</v>
      </c>
      <c r="D385" s="392">
        <v>3541820.8</v>
      </c>
      <c r="E385" s="392">
        <v>3541820.8</v>
      </c>
      <c r="F385" s="392">
        <v>9518556.3499999996</v>
      </c>
      <c r="G385" s="495">
        <v>9518556.3499999996</v>
      </c>
      <c r="H385" s="495"/>
    </row>
  </sheetData>
  <mergeCells count="391">
    <mergeCell ref="A370:A371"/>
    <mergeCell ref="G360:H360"/>
    <mergeCell ref="G362:H362"/>
    <mergeCell ref="G363:H363"/>
    <mergeCell ref="G344:H344"/>
    <mergeCell ref="G345:H345"/>
    <mergeCell ref="G346:H346"/>
    <mergeCell ref="G347:H347"/>
    <mergeCell ref="G348:H348"/>
    <mergeCell ref="A360:A361"/>
    <mergeCell ref="A356:A357"/>
    <mergeCell ref="B356:C356"/>
    <mergeCell ref="D356:E356"/>
    <mergeCell ref="F356:H356"/>
    <mergeCell ref="G358:H358"/>
    <mergeCell ref="G359:H359"/>
    <mergeCell ref="G350:H350"/>
    <mergeCell ref="G357:H357"/>
    <mergeCell ref="B352:F352"/>
    <mergeCell ref="B353:F353"/>
    <mergeCell ref="A354:H354"/>
    <mergeCell ref="G349:H349"/>
    <mergeCell ref="G372:H372"/>
    <mergeCell ref="G373:H373"/>
    <mergeCell ref="G374:H374"/>
    <mergeCell ref="G375:H375"/>
    <mergeCell ref="G370:H370"/>
    <mergeCell ref="G364:H364"/>
    <mergeCell ref="G365:H365"/>
    <mergeCell ref="G366:H366"/>
    <mergeCell ref="G367:H367"/>
    <mergeCell ref="G368:H368"/>
    <mergeCell ref="G369:H369"/>
    <mergeCell ref="G325:H325"/>
    <mergeCell ref="G326:H326"/>
    <mergeCell ref="G328:H328"/>
    <mergeCell ref="G329:H329"/>
    <mergeCell ref="G330:H330"/>
    <mergeCell ref="A326:A327"/>
    <mergeCell ref="A226:A227"/>
    <mergeCell ref="A230:A231"/>
    <mergeCell ref="A220:A221"/>
    <mergeCell ref="G268:H268"/>
    <mergeCell ref="G269:H269"/>
    <mergeCell ref="G270:H270"/>
    <mergeCell ref="G271:H271"/>
    <mergeCell ref="G272:H272"/>
    <mergeCell ref="G262:H262"/>
    <mergeCell ref="G264:H264"/>
    <mergeCell ref="G265:H265"/>
    <mergeCell ref="G267:H267"/>
    <mergeCell ref="G226:H226"/>
    <mergeCell ref="G228:H228"/>
    <mergeCell ref="G229:H229"/>
    <mergeCell ref="G230:H230"/>
    <mergeCell ref="G220:H220"/>
    <mergeCell ref="G222:H222"/>
    <mergeCell ref="D145:E145"/>
    <mergeCell ref="F145:H145"/>
    <mergeCell ref="G183:H183"/>
    <mergeCell ref="G177:H177"/>
    <mergeCell ref="G179:H179"/>
    <mergeCell ref="G181:H181"/>
    <mergeCell ref="G223:H223"/>
    <mergeCell ref="G224:H224"/>
    <mergeCell ref="G225:H225"/>
    <mergeCell ref="G189:H189"/>
    <mergeCell ref="G190:H190"/>
    <mergeCell ref="G192:H192"/>
    <mergeCell ref="G193:H193"/>
    <mergeCell ref="G185:H185"/>
    <mergeCell ref="G187:H187"/>
    <mergeCell ref="G195:H195"/>
    <mergeCell ref="G217:H217"/>
    <mergeCell ref="G218:H218"/>
    <mergeCell ref="G208:H208"/>
    <mergeCell ref="G209:H209"/>
    <mergeCell ref="G152:H152"/>
    <mergeCell ref="B213:F213"/>
    <mergeCell ref="A214:H214"/>
    <mergeCell ref="G202:H202"/>
    <mergeCell ref="G126:H126"/>
    <mergeCell ref="G133:H133"/>
    <mergeCell ref="G134:H134"/>
    <mergeCell ref="G135:H135"/>
    <mergeCell ref="G136:H136"/>
    <mergeCell ref="G137:H137"/>
    <mergeCell ref="A190:A191"/>
    <mergeCell ref="A193:A194"/>
    <mergeCell ref="A185:A186"/>
    <mergeCell ref="A187:A188"/>
    <mergeCell ref="G138:H138"/>
    <mergeCell ref="G127:H127"/>
    <mergeCell ref="G128:H128"/>
    <mergeCell ref="G129:H129"/>
    <mergeCell ref="G131:H131"/>
    <mergeCell ref="G132:H132"/>
    <mergeCell ref="A129:A130"/>
    <mergeCell ref="G139:H139"/>
    <mergeCell ref="G146:H146"/>
    <mergeCell ref="B141:F141"/>
    <mergeCell ref="B142:F142"/>
    <mergeCell ref="A143:H143"/>
    <mergeCell ref="A145:A146"/>
    <mergeCell ref="B145:C145"/>
    <mergeCell ref="G317:H317"/>
    <mergeCell ref="G109:H109"/>
    <mergeCell ref="G110:H110"/>
    <mergeCell ref="G111:H111"/>
    <mergeCell ref="G112:H112"/>
    <mergeCell ref="G113:H113"/>
    <mergeCell ref="G103:H103"/>
    <mergeCell ref="G104:H104"/>
    <mergeCell ref="G105:H105"/>
    <mergeCell ref="G106:H106"/>
    <mergeCell ref="G107:H107"/>
    <mergeCell ref="G108:H108"/>
    <mergeCell ref="G114:H114"/>
    <mergeCell ref="G121:H121"/>
    <mergeCell ref="G122:H122"/>
    <mergeCell ref="G115:H115"/>
    <mergeCell ref="G116:H116"/>
    <mergeCell ref="G117:H117"/>
    <mergeCell ref="G118:H118"/>
    <mergeCell ref="G119:H119"/>
    <mergeCell ref="G120:H120"/>
    <mergeCell ref="G123:H123"/>
    <mergeCell ref="G124:H124"/>
    <mergeCell ref="G125:H125"/>
    <mergeCell ref="G383:H383"/>
    <mergeCell ref="G384:H384"/>
    <mergeCell ref="G385:H385"/>
    <mergeCell ref="G376:H376"/>
    <mergeCell ref="G378:H378"/>
    <mergeCell ref="G380:H380"/>
    <mergeCell ref="G381:H381"/>
    <mergeCell ref="G382:H382"/>
    <mergeCell ref="A376:A377"/>
    <mergeCell ref="A378:A379"/>
    <mergeCell ref="G311:H311"/>
    <mergeCell ref="G301:H301"/>
    <mergeCell ref="G302:H302"/>
    <mergeCell ref="G304:H304"/>
    <mergeCell ref="G306:H306"/>
    <mergeCell ref="G291:H291"/>
    <mergeCell ref="G292:H292"/>
    <mergeCell ref="G171:H171"/>
    <mergeCell ref="A183:A184"/>
    <mergeCell ref="A177:A178"/>
    <mergeCell ref="A179:A180"/>
    <mergeCell ref="A181:A182"/>
    <mergeCell ref="A171:A172"/>
    <mergeCell ref="G243:H243"/>
    <mergeCell ref="A235:A236"/>
    <mergeCell ref="G256:H256"/>
    <mergeCell ref="G257:H257"/>
    <mergeCell ref="G258:H258"/>
    <mergeCell ref="G259:H259"/>
    <mergeCell ref="G260:H260"/>
    <mergeCell ref="G232:H232"/>
    <mergeCell ref="G233:H233"/>
    <mergeCell ref="G234:H234"/>
    <mergeCell ref="G235:H235"/>
    <mergeCell ref="G237:H237"/>
    <mergeCell ref="G238:H238"/>
    <mergeCell ref="G239:H239"/>
    <mergeCell ref="G240:H240"/>
    <mergeCell ref="A241:A242"/>
    <mergeCell ref="G241:H241"/>
    <mergeCell ref="A216:A217"/>
    <mergeCell ref="B216:C216"/>
    <mergeCell ref="D216:E216"/>
    <mergeCell ref="F216:H216"/>
    <mergeCell ref="A218:A219"/>
    <mergeCell ref="A209:A210"/>
    <mergeCell ref="B212:F212"/>
    <mergeCell ref="G77:H77"/>
    <mergeCell ref="B72:F72"/>
    <mergeCell ref="B73:F73"/>
    <mergeCell ref="A74:H74"/>
    <mergeCell ref="A76:A77"/>
    <mergeCell ref="B76:C76"/>
    <mergeCell ref="D76:E76"/>
    <mergeCell ref="F76:H76"/>
    <mergeCell ref="G159:H159"/>
    <mergeCell ref="G153:H153"/>
    <mergeCell ref="G154:H154"/>
    <mergeCell ref="G155:H155"/>
    <mergeCell ref="G97:H97"/>
    <mergeCell ref="G91:H91"/>
    <mergeCell ref="G156:H156"/>
    <mergeCell ref="G157:H157"/>
    <mergeCell ref="G158:H158"/>
    <mergeCell ref="G147:H147"/>
    <mergeCell ref="G148:H148"/>
    <mergeCell ref="G149:H149"/>
    <mergeCell ref="G150:H150"/>
    <mergeCell ref="G151:H151"/>
    <mergeCell ref="G92:H92"/>
    <mergeCell ref="G45:H45"/>
    <mergeCell ref="A40:A41"/>
    <mergeCell ref="A42:A43"/>
    <mergeCell ref="G65:H65"/>
    <mergeCell ref="G66:H66"/>
    <mergeCell ref="G67:H67"/>
    <mergeCell ref="G69:H69"/>
    <mergeCell ref="G70:H70"/>
    <mergeCell ref="G59:H59"/>
    <mergeCell ref="G61:H61"/>
    <mergeCell ref="G62:H62"/>
    <mergeCell ref="G63:H63"/>
    <mergeCell ref="G64:H64"/>
    <mergeCell ref="A67:A68"/>
    <mergeCell ref="A59:A60"/>
    <mergeCell ref="G52:H52"/>
    <mergeCell ref="G54:H54"/>
    <mergeCell ref="G55:H55"/>
    <mergeCell ref="G56:H56"/>
    <mergeCell ref="G57:H57"/>
    <mergeCell ref="G87:H87"/>
    <mergeCell ref="G88:H88"/>
    <mergeCell ref="A89:A90"/>
    <mergeCell ref="G15:H15"/>
    <mergeCell ref="G16:H16"/>
    <mergeCell ref="G18:H18"/>
    <mergeCell ref="G19:H19"/>
    <mergeCell ref="G20:H20"/>
    <mergeCell ref="G34:H34"/>
    <mergeCell ref="G35:H35"/>
    <mergeCell ref="G36:H36"/>
    <mergeCell ref="G38:H38"/>
    <mergeCell ref="G27:H27"/>
    <mergeCell ref="G28:H28"/>
    <mergeCell ref="G29:H29"/>
    <mergeCell ref="G30:H30"/>
    <mergeCell ref="G31:H31"/>
    <mergeCell ref="G32:H32"/>
    <mergeCell ref="G337:H337"/>
    <mergeCell ref="G338:H338"/>
    <mergeCell ref="G339:H339"/>
    <mergeCell ref="A340:A341"/>
    <mergeCell ref="G340:H340"/>
    <mergeCell ref="A342:A343"/>
    <mergeCell ref="G342:H342"/>
    <mergeCell ref="G331:H331"/>
    <mergeCell ref="G332:H332"/>
    <mergeCell ref="G333:H333"/>
    <mergeCell ref="G334:H334"/>
    <mergeCell ref="G335:H335"/>
    <mergeCell ref="G336:H336"/>
    <mergeCell ref="G319:H319"/>
    <mergeCell ref="G320:H320"/>
    <mergeCell ref="G321:H321"/>
    <mergeCell ref="G323:H323"/>
    <mergeCell ref="G324:H324"/>
    <mergeCell ref="A321:A322"/>
    <mergeCell ref="G295:H295"/>
    <mergeCell ref="G296:H296"/>
    <mergeCell ref="A297:A298"/>
    <mergeCell ref="G297:H297"/>
    <mergeCell ref="A299:A300"/>
    <mergeCell ref="G299:H299"/>
    <mergeCell ref="G315:H315"/>
    <mergeCell ref="G313:H313"/>
    <mergeCell ref="A315:A316"/>
    <mergeCell ref="A317:A318"/>
    <mergeCell ref="A308:A309"/>
    <mergeCell ref="A311:A312"/>
    <mergeCell ref="A302:A303"/>
    <mergeCell ref="A304:A305"/>
    <mergeCell ref="G314:H314"/>
    <mergeCell ref="G307:H307"/>
    <mergeCell ref="G308:H308"/>
    <mergeCell ref="G310:H310"/>
    <mergeCell ref="A293:A294"/>
    <mergeCell ref="G293:H293"/>
    <mergeCell ref="A273:A274"/>
    <mergeCell ref="A262:A263"/>
    <mergeCell ref="A265:A266"/>
    <mergeCell ref="A260:A261"/>
    <mergeCell ref="B282:F282"/>
    <mergeCell ref="B283:F283"/>
    <mergeCell ref="A284:H284"/>
    <mergeCell ref="A286:A287"/>
    <mergeCell ref="B286:C286"/>
    <mergeCell ref="D286:E286"/>
    <mergeCell ref="F286:H286"/>
    <mergeCell ref="G287:H287"/>
    <mergeCell ref="G278:H278"/>
    <mergeCell ref="G279:H279"/>
    <mergeCell ref="G280:H280"/>
    <mergeCell ref="G273:H273"/>
    <mergeCell ref="G275:H275"/>
    <mergeCell ref="G276:H276"/>
    <mergeCell ref="G277:H277"/>
    <mergeCell ref="G288:H288"/>
    <mergeCell ref="G289:H289"/>
    <mergeCell ref="G290:H290"/>
    <mergeCell ref="G250:H250"/>
    <mergeCell ref="G251:H251"/>
    <mergeCell ref="G252:H252"/>
    <mergeCell ref="G253:H253"/>
    <mergeCell ref="G254:H254"/>
    <mergeCell ref="G255:H255"/>
    <mergeCell ref="A244:A245"/>
    <mergeCell ref="G244:H244"/>
    <mergeCell ref="A246:A247"/>
    <mergeCell ref="G246:H246"/>
    <mergeCell ref="G248:H248"/>
    <mergeCell ref="G249:H249"/>
    <mergeCell ref="G203:H203"/>
    <mergeCell ref="G204:H204"/>
    <mergeCell ref="G205:H205"/>
    <mergeCell ref="G206:H206"/>
    <mergeCell ref="G207:H207"/>
    <mergeCell ref="A196:A197"/>
    <mergeCell ref="G196:H196"/>
    <mergeCell ref="A198:A199"/>
    <mergeCell ref="G198:H198"/>
    <mergeCell ref="A200:A201"/>
    <mergeCell ref="G200:H200"/>
    <mergeCell ref="A97:A98"/>
    <mergeCell ref="A99:A100"/>
    <mergeCell ref="A93:A94"/>
    <mergeCell ref="G173:H173"/>
    <mergeCell ref="G174:H174"/>
    <mergeCell ref="A175:A176"/>
    <mergeCell ref="G175:H175"/>
    <mergeCell ref="A165:A166"/>
    <mergeCell ref="G165:H165"/>
    <mergeCell ref="G167:H167"/>
    <mergeCell ref="G168:H168"/>
    <mergeCell ref="A169:A170"/>
    <mergeCell ref="G169:H169"/>
    <mergeCell ref="G160:H160"/>
    <mergeCell ref="G162:H162"/>
    <mergeCell ref="G163:H163"/>
    <mergeCell ref="G164:H164"/>
    <mergeCell ref="A160:A161"/>
    <mergeCell ref="G93:H93"/>
    <mergeCell ref="G95:H95"/>
    <mergeCell ref="G96:H96"/>
    <mergeCell ref="G99:H99"/>
    <mergeCell ref="G101:H101"/>
    <mergeCell ref="G102:H102"/>
    <mergeCell ref="G89:H89"/>
    <mergeCell ref="G78:H78"/>
    <mergeCell ref="G79:H79"/>
    <mergeCell ref="G80:H80"/>
    <mergeCell ref="G81:H81"/>
    <mergeCell ref="A82:A83"/>
    <mergeCell ref="G82:H82"/>
    <mergeCell ref="A32:A33"/>
    <mergeCell ref="A25:A26"/>
    <mergeCell ref="A16:A17"/>
    <mergeCell ref="A52:A53"/>
    <mergeCell ref="A57:A58"/>
    <mergeCell ref="A49:A50"/>
    <mergeCell ref="G84:H84"/>
    <mergeCell ref="A85:A86"/>
    <mergeCell ref="G85:H85"/>
    <mergeCell ref="G21:H21"/>
    <mergeCell ref="G22:H22"/>
    <mergeCell ref="G23:H23"/>
    <mergeCell ref="G24:H24"/>
    <mergeCell ref="G25:H25"/>
    <mergeCell ref="A36:A37"/>
    <mergeCell ref="A38:A39"/>
    <mergeCell ref="G46:H46"/>
    <mergeCell ref="G47:H47"/>
    <mergeCell ref="G48:H48"/>
    <mergeCell ref="G49:H49"/>
    <mergeCell ref="G51:H51"/>
    <mergeCell ref="G40:H40"/>
    <mergeCell ref="G42:H42"/>
    <mergeCell ref="G44:H44"/>
    <mergeCell ref="G9:H9"/>
    <mergeCell ref="A10:A11"/>
    <mergeCell ref="G10:H10"/>
    <mergeCell ref="A12:A13"/>
    <mergeCell ref="G12:H12"/>
    <mergeCell ref="G14:H14"/>
    <mergeCell ref="B1:F1"/>
    <mergeCell ref="B3:F3"/>
    <mergeCell ref="B4:F4"/>
    <mergeCell ref="A5:H5"/>
    <mergeCell ref="A7:A8"/>
    <mergeCell ref="B7:C7"/>
    <mergeCell ref="D7:E7"/>
    <mergeCell ref="F7:H7"/>
    <mergeCell ref="G8:H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6B1EF-1878-43D3-8DD0-E255F7FD284E}">
  <dimension ref="B1:U34"/>
  <sheetViews>
    <sheetView workbookViewId="0">
      <selection activeCell="N4" sqref="N4"/>
    </sheetView>
  </sheetViews>
  <sheetFormatPr defaultRowHeight="15" x14ac:dyDescent="0.25"/>
  <cols>
    <col min="3" max="3" width="13" customWidth="1"/>
    <col min="4" max="4" width="13.42578125" customWidth="1"/>
    <col min="5" max="5" width="15.140625" customWidth="1"/>
    <col min="6" max="6" width="13.5703125" customWidth="1"/>
    <col min="7" max="7" width="22.140625" customWidth="1"/>
    <col min="8" max="8" width="18.140625" customWidth="1"/>
    <col min="9" max="9" width="10.5703125" customWidth="1"/>
    <col min="10" max="10" width="12.28515625" customWidth="1"/>
    <col min="11" max="11" width="11" customWidth="1"/>
    <col min="12" max="12" width="10.42578125" customWidth="1"/>
    <col min="13" max="13" width="20.85546875" customWidth="1"/>
    <col min="14" max="14" width="15.85546875" customWidth="1"/>
    <col min="21" max="21" width="9.5703125" bestFit="1" customWidth="1"/>
  </cols>
  <sheetData>
    <row r="1" spans="2:21" ht="15.75" thickBot="1" x14ac:dyDescent="0.3"/>
    <row r="2" spans="2:21" ht="15.75" thickBot="1" x14ac:dyDescent="0.3">
      <c r="B2" s="497" t="s">
        <v>260</v>
      </c>
      <c r="C2" s="498"/>
      <c r="D2" s="498"/>
      <c r="E2" s="499"/>
    </row>
    <row r="3" spans="2:21" ht="66" customHeight="1" thickBot="1" x14ac:dyDescent="0.3">
      <c r="B3" s="142" t="s">
        <v>212</v>
      </c>
      <c r="C3" s="143" t="s">
        <v>262</v>
      </c>
      <c r="D3" s="143" t="s">
        <v>213</v>
      </c>
      <c r="E3" s="144" t="s">
        <v>214</v>
      </c>
      <c r="F3" s="143" t="s">
        <v>215</v>
      </c>
      <c r="G3" s="144" t="s">
        <v>227</v>
      </c>
      <c r="H3" s="143" t="s">
        <v>216</v>
      </c>
      <c r="I3" s="143" t="s">
        <v>217</v>
      </c>
      <c r="J3" s="143" t="s">
        <v>218</v>
      </c>
      <c r="K3" s="143" t="s">
        <v>219</v>
      </c>
      <c r="L3" s="143" t="s">
        <v>220</v>
      </c>
      <c r="M3" s="147" t="s">
        <v>265</v>
      </c>
      <c r="N3" s="145" t="s">
        <v>635</v>
      </c>
    </row>
    <row r="4" spans="2:21" x14ac:dyDescent="0.25">
      <c r="B4" s="149">
        <v>1</v>
      </c>
      <c r="C4" s="152">
        <v>16844.82</v>
      </c>
      <c r="D4" s="98">
        <f>391.31+461.4+260.87+417.39</f>
        <v>1530.9699999999998</v>
      </c>
      <c r="E4" s="98">
        <v>336</v>
      </c>
      <c r="F4" s="98">
        <v>1046.54</v>
      </c>
      <c r="G4" s="98">
        <f>940.93+204.48+235.58</f>
        <v>1380.9899999999998</v>
      </c>
      <c r="H4" s="98">
        <f>+G4+F4+C4+D4</f>
        <v>20803.32</v>
      </c>
      <c r="I4" s="98">
        <f>4071.52+4539.79</f>
        <v>8611.31</v>
      </c>
      <c r="J4" s="98">
        <v>313.35000000000002</v>
      </c>
      <c r="K4" s="98">
        <f>+I4+J4</f>
        <v>8924.66</v>
      </c>
      <c r="L4" s="98">
        <v>405.17</v>
      </c>
      <c r="M4" s="98">
        <f>+H4+E4+L4</f>
        <v>21544.489999999998</v>
      </c>
      <c r="N4" s="101" t="s">
        <v>263</v>
      </c>
    </row>
    <row r="5" spans="2:21" x14ac:dyDescent="0.25">
      <c r="B5" s="150">
        <v>2</v>
      </c>
      <c r="C5" s="153">
        <v>14966.67</v>
      </c>
      <c r="D5" s="99"/>
      <c r="E5" s="99">
        <v>336</v>
      </c>
      <c r="F5" s="99"/>
      <c r="G5" s="99">
        <f>10.14+2217.19+139.17</f>
        <v>2366.5</v>
      </c>
      <c r="H5" s="99">
        <f t="shared" ref="H5:H15" si="0">+G5+F5+C5+D5</f>
        <v>17333.169999999998</v>
      </c>
      <c r="I5" s="99">
        <f>3390.81+3763.61</f>
        <v>7154.42</v>
      </c>
      <c r="J5" s="99">
        <v>313.35000000000002</v>
      </c>
      <c r="K5" s="99">
        <f t="shared" ref="K5:K15" si="1">+I5+J5</f>
        <v>7467.77</v>
      </c>
      <c r="L5" s="99">
        <v>343.64</v>
      </c>
      <c r="M5" s="99">
        <f t="shared" ref="M5:M16" si="2">+H5+E5+L5</f>
        <v>18012.809999999998</v>
      </c>
      <c r="N5" s="102" t="s">
        <v>264</v>
      </c>
    </row>
    <row r="6" spans="2:21" x14ac:dyDescent="0.25">
      <c r="B6" s="150">
        <v>3</v>
      </c>
      <c r="C6" s="153">
        <v>17126.21</v>
      </c>
      <c r="D6" s="99"/>
      <c r="E6" s="99"/>
      <c r="F6" s="99"/>
      <c r="G6" s="99">
        <f>501.42+139.5</f>
        <v>640.92000000000007</v>
      </c>
      <c r="H6" s="99">
        <f t="shared" si="0"/>
        <v>17767.129999999997</v>
      </c>
      <c r="I6" s="99">
        <f>3519.42+3712.44</f>
        <v>7231.8600000000006</v>
      </c>
      <c r="J6" s="99">
        <v>313.35000000000002</v>
      </c>
      <c r="K6" s="99">
        <f t="shared" si="1"/>
        <v>7545.2100000000009</v>
      </c>
      <c r="L6" s="99">
        <v>342.81</v>
      </c>
      <c r="M6" s="99">
        <f t="shared" si="2"/>
        <v>18109.939999999999</v>
      </c>
      <c r="N6" s="102" t="s">
        <v>264</v>
      </c>
    </row>
    <row r="7" spans="2:21" x14ac:dyDescent="0.25">
      <c r="B7" s="150">
        <v>4</v>
      </c>
      <c r="C7" s="153">
        <v>17310.490000000002</v>
      </c>
      <c r="D7" s="99"/>
      <c r="E7" s="99"/>
      <c r="F7" s="99"/>
      <c r="G7" s="99">
        <f>1155.72+324.41</f>
        <v>1480.13</v>
      </c>
      <c r="H7" s="99">
        <f t="shared" si="0"/>
        <v>18790.620000000003</v>
      </c>
      <c r="I7" s="99">
        <f>3711.7+4012.11</f>
        <v>7723.8099999999995</v>
      </c>
      <c r="J7" s="99">
        <v>505.11</v>
      </c>
      <c r="K7" s="99">
        <f t="shared" si="1"/>
        <v>8228.92</v>
      </c>
      <c r="L7" s="99">
        <v>366.37</v>
      </c>
      <c r="M7" s="99">
        <f t="shared" si="2"/>
        <v>19156.990000000002</v>
      </c>
      <c r="N7" s="102" t="s">
        <v>264</v>
      </c>
    </row>
    <row r="8" spans="2:21" x14ac:dyDescent="0.25">
      <c r="B8" s="150">
        <v>5</v>
      </c>
      <c r="C8" s="153">
        <v>18360.37</v>
      </c>
      <c r="D8" s="99"/>
      <c r="E8" s="99"/>
      <c r="F8" s="99">
        <v>619.5</v>
      </c>
      <c r="G8" s="99">
        <f>1085.9+181.43+9.65</f>
        <v>1276.9800000000002</v>
      </c>
      <c r="H8" s="99">
        <f t="shared" si="0"/>
        <v>20256.849999999999</v>
      </c>
      <c r="I8" s="99">
        <f>4003.41+4342.01</f>
        <v>8345.42</v>
      </c>
      <c r="J8" s="99">
        <v>502.21</v>
      </c>
      <c r="K8" s="99">
        <f t="shared" si="1"/>
        <v>8847.6299999999992</v>
      </c>
      <c r="L8" s="99">
        <v>392.32</v>
      </c>
      <c r="M8" s="99">
        <f t="shared" si="2"/>
        <v>20649.169999999998</v>
      </c>
      <c r="N8" s="102" t="s">
        <v>264</v>
      </c>
    </row>
    <row r="9" spans="2:21" x14ac:dyDescent="0.25">
      <c r="B9" s="150">
        <v>6</v>
      </c>
      <c r="C9" s="153">
        <v>16527.29</v>
      </c>
      <c r="D9" s="99"/>
      <c r="E9" s="99">
        <v>28</v>
      </c>
      <c r="F9" s="99"/>
      <c r="G9" s="99">
        <f>1509.96+316.12</f>
        <v>1826.08</v>
      </c>
      <c r="H9" s="99">
        <f t="shared" si="0"/>
        <v>18353.370000000003</v>
      </c>
      <c r="I9" s="99">
        <f>3621.05+3913.86</f>
        <v>7534.91</v>
      </c>
      <c r="J9" s="99">
        <v>500.92</v>
      </c>
      <c r="K9" s="99">
        <f t="shared" si="1"/>
        <v>8035.83</v>
      </c>
      <c r="L9" s="99">
        <v>358.65</v>
      </c>
      <c r="M9" s="99">
        <f t="shared" si="2"/>
        <v>18740.020000000004</v>
      </c>
      <c r="N9" s="102" t="s">
        <v>564</v>
      </c>
      <c r="Q9" s="133"/>
    </row>
    <row r="10" spans="2:21" x14ac:dyDescent="0.25">
      <c r="B10" s="150">
        <v>7</v>
      </c>
      <c r="C10" s="153">
        <v>16280.86</v>
      </c>
      <c r="D10" s="99"/>
      <c r="E10" s="99"/>
      <c r="F10" s="99"/>
      <c r="G10" s="99">
        <f>181.43+7.62+894+1255.5</f>
        <v>2338.5500000000002</v>
      </c>
      <c r="H10" s="99">
        <f t="shared" si="0"/>
        <v>18619.41</v>
      </c>
      <c r="I10" s="99">
        <f>3680.21+3973.59</f>
        <v>7653.8</v>
      </c>
      <c r="J10" s="99">
        <f>181.43+303.65</f>
        <v>485.08</v>
      </c>
      <c r="K10" s="99">
        <f t="shared" si="1"/>
        <v>8138.88</v>
      </c>
      <c r="L10" s="99">
        <v>363.35</v>
      </c>
      <c r="M10" s="99">
        <f t="shared" si="2"/>
        <v>18982.759999999998</v>
      </c>
      <c r="N10" s="102" t="s">
        <v>564</v>
      </c>
      <c r="Q10" s="133"/>
    </row>
    <row r="11" spans="2:21" x14ac:dyDescent="0.25">
      <c r="B11" s="150">
        <v>8</v>
      </c>
      <c r="C11" s="153"/>
      <c r="D11" s="99"/>
      <c r="E11" s="99"/>
      <c r="F11" s="99"/>
      <c r="G11" s="99"/>
      <c r="H11" s="99">
        <f t="shared" si="0"/>
        <v>0</v>
      </c>
      <c r="I11" s="99"/>
      <c r="J11" s="99"/>
      <c r="K11" s="99">
        <f t="shared" si="1"/>
        <v>0</v>
      </c>
      <c r="L11" s="99"/>
      <c r="M11" s="99">
        <f t="shared" si="2"/>
        <v>0</v>
      </c>
      <c r="N11" s="102"/>
      <c r="Q11" s="133"/>
    </row>
    <row r="12" spans="2:21" x14ac:dyDescent="0.25">
      <c r="B12" s="150">
        <v>9</v>
      </c>
      <c r="C12" s="153"/>
      <c r="D12" s="99"/>
      <c r="E12" s="99"/>
      <c r="F12" s="99"/>
      <c r="G12" s="99"/>
      <c r="H12" s="99">
        <f t="shared" si="0"/>
        <v>0</v>
      </c>
      <c r="I12" s="99"/>
      <c r="J12" s="99"/>
      <c r="K12" s="99">
        <f t="shared" si="1"/>
        <v>0</v>
      </c>
      <c r="L12" s="99"/>
      <c r="M12" s="99">
        <f t="shared" si="2"/>
        <v>0</v>
      </c>
      <c r="N12" s="102"/>
    </row>
    <row r="13" spans="2:21" x14ac:dyDescent="0.25">
      <c r="B13" s="150">
        <v>10</v>
      </c>
      <c r="C13" s="153"/>
      <c r="D13" s="99"/>
      <c r="E13" s="99"/>
      <c r="F13" s="99"/>
      <c r="G13" s="99"/>
      <c r="H13" s="99">
        <f t="shared" si="0"/>
        <v>0</v>
      </c>
      <c r="I13" s="99"/>
      <c r="J13" s="99"/>
      <c r="K13" s="99">
        <f t="shared" si="1"/>
        <v>0</v>
      </c>
      <c r="L13" s="99"/>
      <c r="M13" s="99">
        <f t="shared" si="2"/>
        <v>0</v>
      </c>
      <c r="N13" s="102"/>
      <c r="U13" s="133"/>
    </row>
    <row r="14" spans="2:21" x14ac:dyDescent="0.25">
      <c r="B14" s="150">
        <v>11</v>
      </c>
      <c r="C14" s="153"/>
      <c r="D14" s="99"/>
      <c r="E14" s="99"/>
      <c r="F14" s="99"/>
      <c r="G14" s="99"/>
      <c r="H14" s="99">
        <f t="shared" si="0"/>
        <v>0</v>
      </c>
      <c r="I14" s="99"/>
      <c r="J14" s="99"/>
      <c r="K14" s="99">
        <f t="shared" si="1"/>
        <v>0</v>
      </c>
      <c r="L14" s="99"/>
      <c r="M14" s="99">
        <f t="shared" si="2"/>
        <v>0</v>
      </c>
      <c r="N14" s="102"/>
      <c r="Q14" s="133"/>
    </row>
    <row r="15" spans="2:21" ht="15.75" thickBot="1" x14ac:dyDescent="0.3">
      <c r="B15" s="151">
        <v>12</v>
      </c>
      <c r="C15" s="154"/>
      <c r="D15" s="100"/>
      <c r="E15" s="100"/>
      <c r="F15" s="100"/>
      <c r="G15" s="100"/>
      <c r="H15" s="100">
        <f t="shared" si="0"/>
        <v>0</v>
      </c>
      <c r="I15" s="100"/>
      <c r="J15" s="100"/>
      <c r="K15" s="100">
        <f t="shared" si="1"/>
        <v>0</v>
      </c>
      <c r="L15" s="100"/>
      <c r="M15" s="100">
        <f t="shared" si="2"/>
        <v>0</v>
      </c>
      <c r="N15" s="103"/>
    </row>
    <row r="16" spans="2:21" ht="15.75" thickBot="1" x14ac:dyDescent="0.3">
      <c r="B16" s="115" t="s">
        <v>211</v>
      </c>
      <c r="C16" s="104">
        <f>SUM(C4:C15)</f>
        <v>117416.71</v>
      </c>
      <c r="D16" s="104">
        <f t="shared" ref="D16:K16" si="3">SUM(D4:D15)</f>
        <v>1530.9699999999998</v>
      </c>
      <c r="E16" s="104">
        <f t="shared" si="3"/>
        <v>700</v>
      </c>
      <c r="F16" s="104">
        <f t="shared" si="3"/>
        <v>1666.04</v>
      </c>
      <c r="G16" s="104">
        <f t="shared" si="3"/>
        <v>11310.150000000001</v>
      </c>
      <c r="H16" s="104">
        <f>SUM(H4:H15)</f>
        <v>131923.87</v>
      </c>
      <c r="I16" s="104">
        <f t="shared" si="3"/>
        <v>54255.53</v>
      </c>
      <c r="J16" s="104">
        <f t="shared" si="3"/>
        <v>2933.37</v>
      </c>
      <c r="K16" s="104">
        <f t="shared" si="3"/>
        <v>57188.899999999994</v>
      </c>
      <c r="L16" s="104">
        <f>SUM(L4:L15)</f>
        <v>2572.3099999999995</v>
      </c>
      <c r="M16" s="148">
        <f t="shared" si="2"/>
        <v>135196.18</v>
      </c>
      <c r="N16" s="105" t="s">
        <v>264</v>
      </c>
    </row>
    <row r="19" spans="2:9" ht="15.75" thickBot="1" x14ac:dyDescent="0.3"/>
    <row r="20" spans="2:9" ht="15.75" thickBot="1" x14ac:dyDescent="0.3">
      <c r="B20" s="500" t="s">
        <v>261</v>
      </c>
      <c r="C20" s="501"/>
      <c r="D20" s="501"/>
      <c r="E20" s="502"/>
    </row>
    <row r="21" spans="2:9" ht="29.25" customHeight="1" thickBot="1" x14ac:dyDescent="0.3">
      <c r="B21" s="142" t="s">
        <v>212</v>
      </c>
      <c r="C21" s="144" t="s">
        <v>221</v>
      </c>
      <c r="D21" s="144" t="s">
        <v>222</v>
      </c>
      <c r="E21" s="144" t="s">
        <v>223</v>
      </c>
      <c r="F21" s="144" t="s">
        <v>224</v>
      </c>
      <c r="G21" s="144" t="s">
        <v>225</v>
      </c>
      <c r="H21" s="144" t="s">
        <v>219</v>
      </c>
      <c r="I21" s="146" t="s">
        <v>226</v>
      </c>
    </row>
    <row r="22" spans="2:9" ht="15.75" thickBot="1" x14ac:dyDescent="0.3">
      <c r="B22" s="106">
        <v>1</v>
      </c>
      <c r="C22" s="107">
        <v>11957.4</v>
      </c>
      <c r="D22" s="107">
        <v>11957.4</v>
      </c>
      <c r="E22" s="107">
        <v>2391.48</v>
      </c>
      <c r="F22" s="107">
        <v>998.82</v>
      </c>
      <c r="G22" s="107">
        <v>1042.6600000000001</v>
      </c>
      <c r="H22" s="107">
        <f>+G22+F22+E22</f>
        <v>4432.96</v>
      </c>
      <c r="I22" s="108">
        <f>+D22-H22</f>
        <v>7524.44</v>
      </c>
    </row>
    <row r="23" spans="2:9" ht="15.75" thickBot="1" x14ac:dyDescent="0.3">
      <c r="B23" s="109">
        <v>2</v>
      </c>
      <c r="C23" s="110">
        <v>11581.86</v>
      </c>
      <c r="D23" s="110">
        <v>11581.86</v>
      </c>
      <c r="E23" s="110">
        <v>2316.36</v>
      </c>
      <c r="F23" s="110">
        <v>996.16</v>
      </c>
      <c r="G23" s="110">
        <v>1009.91</v>
      </c>
      <c r="H23" s="107">
        <f t="shared" ref="H23:H33" si="4">+G23+F23+E23</f>
        <v>4322.43</v>
      </c>
      <c r="I23" s="108">
        <f t="shared" ref="I23:I33" si="5">+D23-H23</f>
        <v>7259.43</v>
      </c>
    </row>
    <row r="24" spans="2:9" ht="15.75" thickBot="1" x14ac:dyDescent="0.3">
      <c r="B24" s="109">
        <v>3</v>
      </c>
      <c r="C24" s="110">
        <v>11496.78</v>
      </c>
      <c r="D24" s="110">
        <v>11496.78</v>
      </c>
      <c r="E24" s="110">
        <v>2299.36</v>
      </c>
      <c r="F24" s="110">
        <v>1003.39</v>
      </c>
      <c r="G24" s="110">
        <v>1002.5</v>
      </c>
      <c r="H24" s="107">
        <f t="shared" si="4"/>
        <v>4305.25</v>
      </c>
      <c r="I24" s="108">
        <f t="shared" si="5"/>
        <v>7191.5300000000007</v>
      </c>
    </row>
    <row r="25" spans="2:9" ht="15.75" thickBot="1" x14ac:dyDescent="0.3">
      <c r="B25" s="109">
        <v>4</v>
      </c>
      <c r="C25" s="110">
        <v>13759.68</v>
      </c>
      <c r="D25" s="110">
        <v>13759.68</v>
      </c>
      <c r="E25" s="110">
        <v>2751.94</v>
      </c>
      <c r="F25" s="110">
        <v>1166.52</v>
      </c>
      <c r="G25" s="110">
        <v>1199.83</v>
      </c>
      <c r="H25" s="107">
        <f t="shared" si="4"/>
        <v>5118.29</v>
      </c>
      <c r="I25" s="108">
        <f t="shared" si="5"/>
        <v>8641.39</v>
      </c>
    </row>
    <row r="26" spans="2:9" ht="15.75" thickBot="1" x14ac:dyDescent="0.3">
      <c r="B26" s="109">
        <v>5</v>
      </c>
      <c r="C26" s="110">
        <v>13932.68</v>
      </c>
      <c r="D26" s="110">
        <v>13932.68</v>
      </c>
      <c r="E26" s="110">
        <v>2786.54</v>
      </c>
      <c r="F26" s="110">
        <v>1181.19</v>
      </c>
      <c r="G26" s="110">
        <v>1214.9100000000001</v>
      </c>
      <c r="H26" s="107">
        <f t="shared" si="4"/>
        <v>5182.6400000000003</v>
      </c>
      <c r="I26" s="108">
        <f t="shared" si="5"/>
        <v>8750.0400000000009</v>
      </c>
    </row>
    <row r="27" spans="2:9" ht="15.75" thickBot="1" x14ac:dyDescent="0.3">
      <c r="B27" s="109">
        <v>6</v>
      </c>
      <c r="C27" s="110">
        <v>13932.68</v>
      </c>
      <c r="D27" s="110">
        <v>13932.68</v>
      </c>
      <c r="E27" s="110">
        <v>2786.54</v>
      </c>
      <c r="F27" s="110">
        <v>1181.19</v>
      </c>
      <c r="G27" s="110">
        <v>1214.9100000000001</v>
      </c>
      <c r="H27" s="107">
        <f t="shared" si="4"/>
        <v>5182.6400000000003</v>
      </c>
      <c r="I27" s="108">
        <f t="shared" si="5"/>
        <v>8750.0400000000009</v>
      </c>
    </row>
    <row r="28" spans="2:9" ht="15.75" thickBot="1" x14ac:dyDescent="0.3">
      <c r="B28" s="109">
        <v>7</v>
      </c>
      <c r="C28" s="110">
        <v>13932.68</v>
      </c>
      <c r="D28" s="110">
        <v>13932.68</v>
      </c>
      <c r="E28" s="110">
        <v>2786.54</v>
      </c>
      <c r="F28" s="110">
        <v>1181.19</v>
      </c>
      <c r="G28" s="110">
        <v>1214.9100000000001</v>
      </c>
      <c r="H28" s="107">
        <f t="shared" si="4"/>
        <v>5182.6400000000003</v>
      </c>
      <c r="I28" s="108">
        <f t="shared" si="5"/>
        <v>8750.0400000000009</v>
      </c>
    </row>
    <row r="29" spans="2:9" ht="15.75" thickBot="1" x14ac:dyDescent="0.3">
      <c r="B29" s="109">
        <v>8</v>
      </c>
      <c r="C29" s="110"/>
      <c r="D29" s="110"/>
      <c r="E29" s="110"/>
      <c r="F29" s="110"/>
      <c r="G29" s="110"/>
      <c r="H29" s="107">
        <f t="shared" si="4"/>
        <v>0</v>
      </c>
      <c r="I29" s="108">
        <f t="shared" si="5"/>
        <v>0</v>
      </c>
    </row>
    <row r="30" spans="2:9" ht="15.75" thickBot="1" x14ac:dyDescent="0.3">
      <c r="B30" s="109">
        <v>9</v>
      </c>
      <c r="C30" s="110"/>
      <c r="D30" s="110"/>
      <c r="E30" s="110"/>
      <c r="F30" s="110"/>
      <c r="G30" s="110"/>
      <c r="H30" s="107">
        <f t="shared" si="4"/>
        <v>0</v>
      </c>
      <c r="I30" s="108">
        <f t="shared" si="5"/>
        <v>0</v>
      </c>
    </row>
    <row r="31" spans="2:9" ht="15.75" thickBot="1" x14ac:dyDescent="0.3">
      <c r="B31" s="109">
        <v>10</v>
      </c>
      <c r="C31" s="110"/>
      <c r="D31" s="110"/>
      <c r="E31" s="110"/>
      <c r="F31" s="110"/>
      <c r="G31" s="110"/>
      <c r="H31" s="107">
        <f t="shared" si="4"/>
        <v>0</v>
      </c>
      <c r="I31" s="108">
        <f t="shared" si="5"/>
        <v>0</v>
      </c>
    </row>
    <row r="32" spans="2:9" ht="15.75" thickBot="1" x14ac:dyDescent="0.3">
      <c r="B32" s="109">
        <v>11</v>
      </c>
      <c r="C32" s="110"/>
      <c r="D32" s="110"/>
      <c r="E32" s="110"/>
      <c r="F32" s="110"/>
      <c r="G32" s="110"/>
      <c r="H32" s="107">
        <f t="shared" si="4"/>
        <v>0</v>
      </c>
      <c r="I32" s="108">
        <f t="shared" si="5"/>
        <v>0</v>
      </c>
    </row>
    <row r="33" spans="2:9" ht="15.75" thickBot="1" x14ac:dyDescent="0.3">
      <c r="B33" s="111">
        <v>12</v>
      </c>
      <c r="C33" s="112"/>
      <c r="D33" s="112"/>
      <c r="E33" s="112"/>
      <c r="F33" s="112"/>
      <c r="G33" s="112"/>
      <c r="H33" s="107">
        <f t="shared" si="4"/>
        <v>0</v>
      </c>
      <c r="I33" s="108">
        <f t="shared" si="5"/>
        <v>0</v>
      </c>
    </row>
    <row r="34" spans="2:9" ht="15.75" thickBot="1" x14ac:dyDescent="0.3">
      <c r="B34" s="115" t="s">
        <v>211</v>
      </c>
      <c r="C34" s="113">
        <f>SUM(C22:C33)</f>
        <v>90593.760000000009</v>
      </c>
      <c r="D34" s="113">
        <f t="shared" ref="D34:I34" si="6">SUM(D22:D33)</f>
        <v>90593.760000000009</v>
      </c>
      <c r="E34" s="113">
        <f t="shared" si="6"/>
        <v>18118.760000000002</v>
      </c>
      <c r="F34" s="113">
        <f t="shared" si="6"/>
        <v>7708.4600000000009</v>
      </c>
      <c r="G34" s="113">
        <f t="shared" si="6"/>
        <v>7899.6299999999992</v>
      </c>
      <c r="H34" s="113">
        <f t="shared" si="6"/>
        <v>33726.85</v>
      </c>
      <c r="I34" s="114">
        <f t="shared" si="6"/>
        <v>56866.91</v>
      </c>
    </row>
  </sheetData>
  <mergeCells count="2">
    <mergeCell ref="B2:E2"/>
    <mergeCell ref="B20:E20"/>
  </mergeCells>
  <phoneticPr fontId="5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B35C9-9FE0-4340-B81B-595FC45D815E}">
  <dimension ref="B1:F15"/>
  <sheetViews>
    <sheetView workbookViewId="0">
      <selection activeCell="B3" sqref="B3:B4"/>
    </sheetView>
  </sheetViews>
  <sheetFormatPr defaultRowHeight="15" x14ac:dyDescent="0.25"/>
  <cols>
    <col min="2" max="2" width="35" customWidth="1"/>
    <col min="3" max="3" width="19.140625" customWidth="1"/>
    <col min="4" max="4" width="14.28515625" customWidth="1"/>
    <col min="5" max="5" width="21.28515625" customWidth="1"/>
    <col min="6" max="6" width="22.85546875" customWidth="1"/>
  </cols>
  <sheetData>
    <row r="1" spans="2:6" ht="15.75" thickBot="1" x14ac:dyDescent="0.3"/>
    <row r="2" spans="2:6" ht="16.5" thickBot="1" x14ac:dyDescent="0.3">
      <c r="B2" s="131" t="s">
        <v>567</v>
      </c>
    </row>
    <row r="3" spans="2:6" ht="32.25" customHeight="1" x14ac:dyDescent="0.25">
      <c r="B3" s="504" t="s">
        <v>228</v>
      </c>
      <c r="C3" s="503" t="s">
        <v>231</v>
      </c>
      <c r="D3" s="503"/>
      <c r="E3" s="503" t="s">
        <v>232</v>
      </c>
      <c r="F3" s="506"/>
    </row>
    <row r="4" spans="2:6" ht="15.75" thickBot="1" x14ac:dyDescent="0.3">
      <c r="B4" s="505"/>
      <c r="C4" s="118" t="s">
        <v>229</v>
      </c>
      <c r="D4" s="118" t="s">
        <v>230</v>
      </c>
      <c r="E4" s="119" t="s">
        <v>233</v>
      </c>
      <c r="F4" s="120" t="s">
        <v>230</v>
      </c>
    </row>
    <row r="5" spans="2:6" ht="15.75" x14ac:dyDescent="0.25">
      <c r="B5" s="121" t="s">
        <v>234</v>
      </c>
      <c r="C5" s="132" t="s">
        <v>245</v>
      </c>
      <c r="D5" s="177">
        <v>3886.49</v>
      </c>
      <c r="E5" s="89"/>
      <c r="F5" s="90"/>
    </row>
    <row r="6" spans="2:6" ht="15.75" x14ac:dyDescent="0.25">
      <c r="B6" s="122" t="s">
        <v>235</v>
      </c>
      <c r="C6" s="124" t="s">
        <v>246</v>
      </c>
      <c r="D6" s="125">
        <f>SUM(D7:D11)</f>
        <v>1175886.7499999998</v>
      </c>
      <c r="E6" s="92"/>
      <c r="F6" s="93"/>
    </row>
    <row r="7" spans="2:6" ht="15.75" x14ac:dyDescent="0.25">
      <c r="B7" s="116" t="s">
        <v>236</v>
      </c>
      <c r="C7" s="123" t="s">
        <v>247</v>
      </c>
      <c r="D7" s="126">
        <v>1140016.03</v>
      </c>
      <c r="E7" s="92"/>
      <c r="F7" s="93"/>
    </row>
    <row r="8" spans="2:6" ht="15.75" x14ac:dyDescent="0.25">
      <c r="B8" s="116" t="s">
        <v>237</v>
      </c>
      <c r="C8" s="123" t="s">
        <v>248</v>
      </c>
      <c r="D8" s="126">
        <v>10541.89</v>
      </c>
      <c r="E8" s="92"/>
      <c r="F8" s="93"/>
    </row>
    <row r="9" spans="2:6" ht="15.75" x14ac:dyDescent="0.25">
      <c r="B9" s="116" t="s">
        <v>238</v>
      </c>
      <c r="C9" s="123" t="s">
        <v>249</v>
      </c>
      <c r="D9" s="126">
        <v>6.96</v>
      </c>
      <c r="E9" s="92"/>
      <c r="F9" s="93"/>
    </row>
    <row r="10" spans="2:6" ht="15.75" x14ac:dyDescent="0.25">
      <c r="B10" s="116" t="s">
        <v>239</v>
      </c>
      <c r="C10" s="123" t="s">
        <v>250</v>
      </c>
      <c r="D10" s="126">
        <f>252.94+3283.28</f>
        <v>3536.2200000000003</v>
      </c>
      <c r="E10" s="92"/>
      <c r="F10" s="93"/>
    </row>
    <row r="11" spans="2:6" ht="15.75" x14ac:dyDescent="0.25">
      <c r="B11" s="116" t="s">
        <v>240</v>
      </c>
      <c r="C11" s="123" t="s">
        <v>251</v>
      </c>
      <c r="D11" s="126">
        <v>21785.65</v>
      </c>
      <c r="E11" s="92"/>
      <c r="F11" s="93"/>
    </row>
    <row r="12" spans="2:6" ht="15.75" x14ac:dyDescent="0.25">
      <c r="B12" s="122" t="s">
        <v>241</v>
      </c>
      <c r="C12" s="97"/>
      <c r="D12" s="127"/>
      <c r="E12" s="92"/>
      <c r="F12" s="93"/>
    </row>
    <row r="13" spans="2:6" ht="15.75" x14ac:dyDescent="0.25">
      <c r="B13" s="116" t="s">
        <v>242</v>
      </c>
      <c r="C13" s="91"/>
      <c r="D13" s="128"/>
      <c r="E13" s="92"/>
      <c r="F13" s="93"/>
    </row>
    <row r="14" spans="2:6" ht="15.75" x14ac:dyDescent="0.25">
      <c r="B14" s="116" t="s">
        <v>243</v>
      </c>
      <c r="C14" s="91"/>
      <c r="D14" s="129"/>
      <c r="E14" s="92"/>
      <c r="F14" s="93"/>
    </row>
    <row r="15" spans="2:6" ht="16.5" thickBot="1" x14ac:dyDescent="0.3">
      <c r="B15" s="117" t="s">
        <v>244</v>
      </c>
      <c r="C15" s="94"/>
      <c r="D15" s="130"/>
      <c r="E15" s="95"/>
      <c r="F15" s="96"/>
    </row>
  </sheetData>
  <mergeCells count="3">
    <mergeCell ref="C3:D3"/>
    <mergeCell ref="B3:B4"/>
    <mergeCell ref="E3:F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891-158A-4799-A7B6-F4A9C1455ED6}">
  <dimension ref="A1:Z168"/>
  <sheetViews>
    <sheetView zoomScale="80" zoomScaleNormal="80" workbookViewId="0">
      <selection activeCell="A2" sqref="A2:D2"/>
    </sheetView>
  </sheetViews>
  <sheetFormatPr defaultRowHeight="14.25" x14ac:dyDescent="0.2"/>
  <cols>
    <col min="1" max="1" width="48.85546875" style="305" customWidth="1" collapsed="1"/>
    <col min="2" max="2" width="15.28515625" style="304" hidden="1" customWidth="1"/>
    <col min="3" max="3" width="59.140625" style="304" customWidth="1"/>
    <col min="4" max="5" width="17.5703125" style="304" hidden="1" customWidth="1"/>
    <col min="6" max="11" width="8.7109375" style="303" hidden="1" customWidth="1"/>
    <col min="12" max="12" width="10.42578125" style="303" hidden="1" customWidth="1"/>
    <col min="13" max="16" width="8.7109375" style="303" hidden="1" customWidth="1"/>
    <col min="17" max="17" width="21.140625" style="303" hidden="1" customWidth="1"/>
    <col min="18" max="18" width="20.7109375" style="303" hidden="1" customWidth="1"/>
    <col min="19" max="19" width="0.28515625" style="304" hidden="1" customWidth="1"/>
    <col min="20" max="20" width="51.140625" style="304" customWidth="1"/>
    <col min="21" max="21" width="21.7109375" style="303" customWidth="1"/>
    <col min="22" max="23" width="9.140625" style="303"/>
    <col min="24" max="24" width="17.5703125" style="428" hidden="1" customWidth="1"/>
    <col min="25" max="25" width="12.85546875" style="303" bestFit="1" customWidth="1"/>
    <col min="26" max="26" width="13.28515625" style="303" customWidth="1"/>
    <col min="27" max="227" width="9.140625" style="303"/>
    <col min="228" max="228" width="49" style="303" customWidth="1"/>
    <col min="229" max="229" width="15" style="303" customWidth="1"/>
    <col min="230" max="230" width="2.42578125" style="303" customWidth="1"/>
    <col min="231" max="231" width="15" style="303" customWidth="1"/>
    <col min="232" max="232" width="14.7109375" style="303" customWidth="1"/>
    <col min="233" max="233" width="15" style="303" customWidth="1"/>
    <col min="234" max="483" width="9.140625" style="303"/>
    <col min="484" max="484" width="49" style="303" customWidth="1"/>
    <col min="485" max="485" width="15" style="303" customWidth="1"/>
    <col min="486" max="486" width="2.42578125" style="303" customWidth="1"/>
    <col min="487" max="487" width="15" style="303" customWidth="1"/>
    <col min="488" max="488" width="14.7109375" style="303" customWidth="1"/>
    <col min="489" max="489" width="15" style="303" customWidth="1"/>
    <col min="490" max="739" width="9.140625" style="303"/>
    <col min="740" max="740" width="49" style="303" customWidth="1"/>
    <col min="741" max="741" width="15" style="303" customWidth="1"/>
    <col min="742" max="742" width="2.42578125" style="303" customWidth="1"/>
    <col min="743" max="743" width="15" style="303" customWidth="1"/>
    <col min="744" max="744" width="14.7109375" style="303" customWidth="1"/>
    <col min="745" max="745" width="15" style="303" customWidth="1"/>
    <col min="746" max="995" width="9.140625" style="303"/>
    <col min="996" max="996" width="49" style="303" customWidth="1"/>
    <col min="997" max="997" width="15" style="303" customWidth="1"/>
    <col min="998" max="998" width="2.42578125" style="303" customWidth="1"/>
    <col min="999" max="999" width="15" style="303" customWidth="1"/>
    <col min="1000" max="1000" width="14.7109375" style="303" customWidth="1"/>
    <col min="1001" max="1001" width="15" style="303" customWidth="1"/>
    <col min="1002" max="1251" width="9.140625" style="303"/>
    <col min="1252" max="1252" width="49" style="303" customWidth="1"/>
    <col min="1253" max="1253" width="15" style="303" customWidth="1"/>
    <col min="1254" max="1254" width="2.42578125" style="303" customWidth="1"/>
    <col min="1255" max="1255" width="15" style="303" customWidth="1"/>
    <col min="1256" max="1256" width="14.7109375" style="303" customWidth="1"/>
    <col min="1257" max="1257" width="15" style="303" customWidth="1"/>
    <col min="1258" max="1507" width="9.140625" style="303"/>
    <col min="1508" max="1508" width="49" style="303" customWidth="1"/>
    <col min="1509" max="1509" width="15" style="303" customWidth="1"/>
    <col min="1510" max="1510" width="2.42578125" style="303" customWidth="1"/>
    <col min="1511" max="1511" width="15" style="303" customWidth="1"/>
    <col min="1512" max="1512" width="14.7109375" style="303" customWidth="1"/>
    <col min="1513" max="1513" width="15" style="303" customWidth="1"/>
    <col min="1514" max="1763" width="9.140625" style="303"/>
    <col min="1764" max="1764" width="49" style="303" customWidth="1"/>
    <col min="1765" max="1765" width="15" style="303" customWidth="1"/>
    <col min="1766" max="1766" width="2.42578125" style="303" customWidth="1"/>
    <col min="1767" max="1767" width="15" style="303" customWidth="1"/>
    <col min="1768" max="1768" width="14.7109375" style="303" customWidth="1"/>
    <col min="1769" max="1769" width="15" style="303" customWidth="1"/>
    <col min="1770" max="2019" width="9.140625" style="303"/>
    <col min="2020" max="2020" width="49" style="303" customWidth="1"/>
    <col min="2021" max="2021" width="15" style="303" customWidth="1"/>
    <col min="2022" max="2022" width="2.42578125" style="303" customWidth="1"/>
    <col min="2023" max="2023" width="15" style="303" customWidth="1"/>
    <col min="2024" max="2024" width="14.7109375" style="303" customWidth="1"/>
    <col min="2025" max="2025" width="15" style="303" customWidth="1"/>
    <col min="2026" max="2275" width="9.140625" style="303"/>
    <col min="2276" max="2276" width="49" style="303" customWidth="1"/>
    <col min="2277" max="2277" width="15" style="303" customWidth="1"/>
    <col min="2278" max="2278" width="2.42578125" style="303" customWidth="1"/>
    <col min="2279" max="2279" width="15" style="303" customWidth="1"/>
    <col min="2280" max="2280" width="14.7109375" style="303" customWidth="1"/>
    <col min="2281" max="2281" width="15" style="303" customWidth="1"/>
    <col min="2282" max="2531" width="9.140625" style="303"/>
    <col min="2532" max="2532" width="49" style="303" customWidth="1"/>
    <col min="2533" max="2533" width="15" style="303" customWidth="1"/>
    <col min="2534" max="2534" width="2.42578125" style="303" customWidth="1"/>
    <col min="2535" max="2535" width="15" style="303" customWidth="1"/>
    <col min="2536" max="2536" width="14.7109375" style="303" customWidth="1"/>
    <col min="2537" max="2537" width="15" style="303" customWidth="1"/>
    <col min="2538" max="2787" width="9.140625" style="303"/>
    <col min="2788" max="2788" width="49" style="303" customWidth="1"/>
    <col min="2789" max="2789" width="15" style="303" customWidth="1"/>
    <col min="2790" max="2790" width="2.42578125" style="303" customWidth="1"/>
    <col min="2791" max="2791" width="15" style="303" customWidth="1"/>
    <col min="2792" max="2792" width="14.7109375" style="303" customWidth="1"/>
    <col min="2793" max="2793" width="15" style="303" customWidth="1"/>
    <col min="2794" max="3043" width="9.140625" style="303"/>
    <col min="3044" max="3044" width="49" style="303" customWidth="1"/>
    <col min="3045" max="3045" width="15" style="303" customWidth="1"/>
    <col min="3046" max="3046" width="2.42578125" style="303" customWidth="1"/>
    <col min="3047" max="3047" width="15" style="303" customWidth="1"/>
    <col min="3048" max="3048" width="14.7109375" style="303" customWidth="1"/>
    <col min="3049" max="3049" width="15" style="303" customWidth="1"/>
    <col min="3050" max="3299" width="9.140625" style="303"/>
    <col min="3300" max="3300" width="49" style="303" customWidth="1"/>
    <col min="3301" max="3301" width="15" style="303" customWidth="1"/>
    <col min="3302" max="3302" width="2.42578125" style="303" customWidth="1"/>
    <col min="3303" max="3303" width="15" style="303" customWidth="1"/>
    <col min="3304" max="3304" width="14.7109375" style="303" customWidth="1"/>
    <col min="3305" max="3305" width="15" style="303" customWidth="1"/>
    <col min="3306" max="3555" width="9.140625" style="303"/>
    <col min="3556" max="3556" width="49" style="303" customWidth="1"/>
    <col min="3557" max="3557" width="15" style="303" customWidth="1"/>
    <col min="3558" max="3558" width="2.42578125" style="303" customWidth="1"/>
    <col min="3559" max="3559" width="15" style="303" customWidth="1"/>
    <col min="3560" max="3560" width="14.7109375" style="303" customWidth="1"/>
    <col min="3561" max="3561" width="15" style="303" customWidth="1"/>
    <col min="3562" max="3811" width="9.140625" style="303"/>
    <col min="3812" max="3812" width="49" style="303" customWidth="1"/>
    <col min="3813" max="3813" width="15" style="303" customWidth="1"/>
    <col min="3814" max="3814" width="2.42578125" style="303" customWidth="1"/>
    <col min="3815" max="3815" width="15" style="303" customWidth="1"/>
    <col min="3816" max="3816" width="14.7109375" style="303" customWidth="1"/>
    <col min="3817" max="3817" width="15" style="303" customWidth="1"/>
    <col min="3818" max="4067" width="9.140625" style="303"/>
    <col min="4068" max="4068" width="49" style="303" customWidth="1"/>
    <col min="4069" max="4069" width="15" style="303" customWidth="1"/>
    <col min="4070" max="4070" width="2.42578125" style="303" customWidth="1"/>
    <col min="4071" max="4071" width="15" style="303" customWidth="1"/>
    <col min="4072" max="4072" width="14.7109375" style="303" customWidth="1"/>
    <col min="4073" max="4073" width="15" style="303" customWidth="1"/>
    <col min="4074" max="4323" width="9.140625" style="303"/>
    <col min="4324" max="4324" width="49" style="303" customWidth="1"/>
    <col min="4325" max="4325" width="15" style="303" customWidth="1"/>
    <col min="4326" max="4326" width="2.42578125" style="303" customWidth="1"/>
    <col min="4327" max="4327" width="15" style="303" customWidth="1"/>
    <col min="4328" max="4328" width="14.7109375" style="303" customWidth="1"/>
    <col min="4329" max="4329" width="15" style="303" customWidth="1"/>
    <col min="4330" max="4579" width="9.140625" style="303"/>
    <col min="4580" max="4580" width="49" style="303" customWidth="1"/>
    <col min="4581" max="4581" width="15" style="303" customWidth="1"/>
    <col min="4582" max="4582" width="2.42578125" style="303" customWidth="1"/>
    <col min="4583" max="4583" width="15" style="303" customWidth="1"/>
    <col min="4584" max="4584" width="14.7109375" style="303" customWidth="1"/>
    <col min="4585" max="4585" width="15" style="303" customWidth="1"/>
    <col min="4586" max="4835" width="9.140625" style="303"/>
    <col min="4836" max="4836" width="49" style="303" customWidth="1"/>
    <col min="4837" max="4837" width="15" style="303" customWidth="1"/>
    <col min="4838" max="4838" width="2.42578125" style="303" customWidth="1"/>
    <col min="4839" max="4839" width="15" style="303" customWidth="1"/>
    <col min="4840" max="4840" width="14.7109375" style="303" customWidth="1"/>
    <col min="4841" max="4841" width="15" style="303" customWidth="1"/>
    <col min="4842" max="5091" width="9.140625" style="303"/>
    <col min="5092" max="5092" width="49" style="303" customWidth="1"/>
    <col min="5093" max="5093" width="15" style="303" customWidth="1"/>
    <col min="5094" max="5094" width="2.42578125" style="303" customWidth="1"/>
    <col min="5095" max="5095" width="15" style="303" customWidth="1"/>
    <col min="5096" max="5096" width="14.7109375" style="303" customWidth="1"/>
    <col min="5097" max="5097" width="15" style="303" customWidth="1"/>
    <col min="5098" max="5347" width="9.140625" style="303"/>
    <col min="5348" max="5348" width="49" style="303" customWidth="1"/>
    <col min="5349" max="5349" width="15" style="303" customWidth="1"/>
    <col min="5350" max="5350" width="2.42578125" style="303" customWidth="1"/>
    <col min="5351" max="5351" width="15" style="303" customWidth="1"/>
    <col min="5352" max="5352" width="14.7109375" style="303" customWidth="1"/>
    <col min="5353" max="5353" width="15" style="303" customWidth="1"/>
    <col min="5354" max="5603" width="9.140625" style="303"/>
    <col min="5604" max="5604" width="49" style="303" customWidth="1"/>
    <col min="5605" max="5605" width="15" style="303" customWidth="1"/>
    <col min="5606" max="5606" width="2.42578125" style="303" customWidth="1"/>
    <col min="5607" max="5607" width="15" style="303" customWidth="1"/>
    <col min="5608" max="5608" width="14.7109375" style="303" customWidth="1"/>
    <col min="5609" max="5609" width="15" style="303" customWidth="1"/>
    <col min="5610" max="5859" width="9.140625" style="303"/>
    <col min="5860" max="5860" width="49" style="303" customWidth="1"/>
    <col min="5861" max="5861" width="15" style="303" customWidth="1"/>
    <col min="5862" max="5862" width="2.42578125" style="303" customWidth="1"/>
    <col min="5863" max="5863" width="15" style="303" customWidth="1"/>
    <col min="5864" max="5864" width="14.7109375" style="303" customWidth="1"/>
    <col min="5865" max="5865" width="15" style="303" customWidth="1"/>
    <col min="5866" max="6115" width="9.140625" style="303"/>
    <col min="6116" max="6116" width="49" style="303" customWidth="1"/>
    <col min="6117" max="6117" width="15" style="303" customWidth="1"/>
    <col min="6118" max="6118" width="2.42578125" style="303" customWidth="1"/>
    <col min="6119" max="6119" width="15" style="303" customWidth="1"/>
    <col min="6120" max="6120" width="14.7109375" style="303" customWidth="1"/>
    <col min="6121" max="6121" width="15" style="303" customWidth="1"/>
    <col min="6122" max="6371" width="9.140625" style="303"/>
    <col min="6372" max="6372" width="49" style="303" customWidth="1"/>
    <col min="6373" max="6373" width="15" style="303" customWidth="1"/>
    <col min="6374" max="6374" width="2.42578125" style="303" customWidth="1"/>
    <col min="6375" max="6375" width="15" style="303" customWidth="1"/>
    <col min="6376" max="6376" width="14.7109375" style="303" customWidth="1"/>
    <col min="6377" max="6377" width="15" style="303" customWidth="1"/>
    <col min="6378" max="6627" width="9.140625" style="303"/>
    <col min="6628" max="6628" width="49" style="303" customWidth="1"/>
    <col min="6629" max="6629" width="15" style="303" customWidth="1"/>
    <col min="6630" max="6630" width="2.42578125" style="303" customWidth="1"/>
    <col min="6631" max="6631" width="15" style="303" customWidth="1"/>
    <col min="6632" max="6632" width="14.7109375" style="303" customWidth="1"/>
    <col min="6633" max="6633" width="15" style="303" customWidth="1"/>
    <col min="6634" max="6883" width="9.140625" style="303"/>
    <col min="6884" max="6884" width="49" style="303" customWidth="1"/>
    <col min="6885" max="6885" width="15" style="303" customWidth="1"/>
    <col min="6886" max="6886" width="2.42578125" style="303" customWidth="1"/>
    <col min="6887" max="6887" width="15" style="303" customWidth="1"/>
    <col min="6888" max="6888" width="14.7109375" style="303" customWidth="1"/>
    <col min="6889" max="6889" width="15" style="303" customWidth="1"/>
    <col min="6890" max="7139" width="9.140625" style="303"/>
    <col min="7140" max="7140" width="49" style="303" customWidth="1"/>
    <col min="7141" max="7141" width="15" style="303" customWidth="1"/>
    <col min="7142" max="7142" width="2.42578125" style="303" customWidth="1"/>
    <col min="7143" max="7143" width="15" style="303" customWidth="1"/>
    <col min="7144" max="7144" width="14.7109375" style="303" customWidth="1"/>
    <col min="7145" max="7145" width="15" style="303" customWidth="1"/>
    <col min="7146" max="7395" width="9.140625" style="303"/>
    <col min="7396" max="7396" width="49" style="303" customWidth="1"/>
    <col min="7397" max="7397" width="15" style="303" customWidth="1"/>
    <col min="7398" max="7398" width="2.42578125" style="303" customWidth="1"/>
    <col min="7399" max="7399" width="15" style="303" customWidth="1"/>
    <col min="7400" max="7400" width="14.7109375" style="303" customWidth="1"/>
    <col min="7401" max="7401" width="15" style="303" customWidth="1"/>
    <col min="7402" max="7651" width="9.140625" style="303"/>
    <col min="7652" max="7652" width="49" style="303" customWidth="1"/>
    <col min="7653" max="7653" width="15" style="303" customWidth="1"/>
    <col min="7654" max="7654" width="2.42578125" style="303" customWidth="1"/>
    <col min="7655" max="7655" width="15" style="303" customWidth="1"/>
    <col min="7656" max="7656" width="14.7109375" style="303" customWidth="1"/>
    <col min="7657" max="7657" width="15" style="303" customWidth="1"/>
    <col min="7658" max="7907" width="9.140625" style="303"/>
    <col min="7908" max="7908" width="49" style="303" customWidth="1"/>
    <col min="7909" max="7909" width="15" style="303" customWidth="1"/>
    <col min="7910" max="7910" width="2.42578125" style="303" customWidth="1"/>
    <col min="7911" max="7911" width="15" style="303" customWidth="1"/>
    <col min="7912" max="7912" width="14.7109375" style="303" customWidth="1"/>
    <col min="7913" max="7913" width="15" style="303" customWidth="1"/>
    <col min="7914" max="8163" width="9.140625" style="303"/>
    <col min="8164" max="8164" width="49" style="303" customWidth="1"/>
    <col min="8165" max="8165" width="15" style="303" customWidth="1"/>
    <col min="8166" max="8166" width="2.42578125" style="303" customWidth="1"/>
    <col min="8167" max="8167" width="15" style="303" customWidth="1"/>
    <col min="8168" max="8168" width="14.7109375" style="303" customWidth="1"/>
    <col min="8169" max="8169" width="15" style="303" customWidth="1"/>
    <col min="8170" max="8419" width="9.140625" style="303"/>
    <col min="8420" max="8420" width="49" style="303" customWidth="1"/>
    <col min="8421" max="8421" width="15" style="303" customWidth="1"/>
    <col min="8422" max="8422" width="2.42578125" style="303" customWidth="1"/>
    <col min="8423" max="8423" width="15" style="303" customWidth="1"/>
    <col min="8424" max="8424" width="14.7109375" style="303" customWidth="1"/>
    <col min="8425" max="8425" width="15" style="303" customWidth="1"/>
    <col min="8426" max="8675" width="9.140625" style="303"/>
    <col min="8676" max="8676" width="49" style="303" customWidth="1"/>
    <col min="8677" max="8677" width="15" style="303" customWidth="1"/>
    <col min="8678" max="8678" width="2.42578125" style="303" customWidth="1"/>
    <col min="8679" max="8679" width="15" style="303" customWidth="1"/>
    <col min="8680" max="8680" width="14.7109375" style="303" customWidth="1"/>
    <col min="8681" max="8681" width="15" style="303" customWidth="1"/>
    <col min="8682" max="8931" width="9.140625" style="303"/>
    <col min="8932" max="8932" width="49" style="303" customWidth="1"/>
    <col min="8933" max="8933" width="15" style="303" customWidth="1"/>
    <col min="8934" max="8934" width="2.42578125" style="303" customWidth="1"/>
    <col min="8935" max="8935" width="15" style="303" customWidth="1"/>
    <col min="8936" max="8936" width="14.7109375" style="303" customWidth="1"/>
    <col min="8937" max="8937" width="15" style="303" customWidth="1"/>
    <col min="8938" max="9187" width="9.140625" style="303"/>
    <col min="9188" max="9188" width="49" style="303" customWidth="1"/>
    <col min="9189" max="9189" width="15" style="303" customWidth="1"/>
    <col min="9190" max="9190" width="2.42578125" style="303" customWidth="1"/>
    <col min="9191" max="9191" width="15" style="303" customWidth="1"/>
    <col min="9192" max="9192" width="14.7109375" style="303" customWidth="1"/>
    <col min="9193" max="9193" width="15" style="303" customWidth="1"/>
    <col min="9194" max="9443" width="9.140625" style="303"/>
    <col min="9444" max="9444" width="49" style="303" customWidth="1"/>
    <col min="9445" max="9445" width="15" style="303" customWidth="1"/>
    <col min="9446" max="9446" width="2.42578125" style="303" customWidth="1"/>
    <col min="9447" max="9447" width="15" style="303" customWidth="1"/>
    <col min="9448" max="9448" width="14.7109375" style="303" customWidth="1"/>
    <col min="9449" max="9449" width="15" style="303" customWidth="1"/>
    <col min="9450" max="9699" width="9.140625" style="303"/>
    <col min="9700" max="9700" width="49" style="303" customWidth="1"/>
    <col min="9701" max="9701" width="15" style="303" customWidth="1"/>
    <col min="9702" max="9702" width="2.42578125" style="303" customWidth="1"/>
    <col min="9703" max="9703" width="15" style="303" customWidth="1"/>
    <col min="9704" max="9704" width="14.7109375" style="303" customWidth="1"/>
    <col min="9705" max="9705" width="15" style="303" customWidth="1"/>
    <col min="9706" max="9955" width="9.140625" style="303"/>
    <col min="9956" max="9956" width="49" style="303" customWidth="1"/>
    <col min="9957" max="9957" width="15" style="303" customWidth="1"/>
    <col min="9958" max="9958" width="2.42578125" style="303" customWidth="1"/>
    <col min="9959" max="9959" width="15" style="303" customWidth="1"/>
    <col min="9960" max="9960" width="14.7109375" style="303" customWidth="1"/>
    <col min="9961" max="9961" width="15" style="303" customWidth="1"/>
    <col min="9962" max="10211" width="9.140625" style="303"/>
    <col min="10212" max="10212" width="49" style="303" customWidth="1"/>
    <col min="10213" max="10213" width="15" style="303" customWidth="1"/>
    <col min="10214" max="10214" width="2.42578125" style="303" customWidth="1"/>
    <col min="10215" max="10215" width="15" style="303" customWidth="1"/>
    <col min="10216" max="10216" width="14.7109375" style="303" customWidth="1"/>
    <col min="10217" max="10217" width="15" style="303" customWidth="1"/>
    <col min="10218" max="10467" width="9.140625" style="303"/>
    <col min="10468" max="10468" width="49" style="303" customWidth="1"/>
    <col min="10469" max="10469" width="15" style="303" customWidth="1"/>
    <col min="10470" max="10470" width="2.42578125" style="303" customWidth="1"/>
    <col min="10471" max="10471" width="15" style="303" customWidth="1"/>
    <col min="10472" max="10472" width="14.7109375" style="303" customWidth="1"/>
    <col min="10473" max="10473" width="15" style="303" customWidth="1"/>
    <col min="10474" max="10723" width="9.140625" style="303"/>
    <col min="10724" max="10724" width="49" style="303" customWidth="1"/>
    <col min="10725" max="10725" width="15" style="303" customWidth="1"/>
    <col min="10726" max="10726" width="2.42578125" style="303" customWidth="1"/>
    <col min="10727" max="10727" width="15" style="303" customWidth="1"/>
    <col min="10728" max="10728" width="14.7109375" style="303" customWidth="1"/>
    <col min="10729" max="10729" width="15" style="303" customWidth="1"/>
    <col min="10730" max="10979" width="9.140625" style="303"/>
    <col min="10980" max="10980" width="49" style="303" customWidth="1"/>
    <col min="10981" max="10981" width="15" style="303" customWidth="1"/>
    <col min="10982" max="10982" width="2.42578125" style="303" customWidth="1"/>
    <col min="10983" max="10983" width="15" style="303" customWidth="1"/>
    <col min="10984" max="10984" width="14.7109375" style="303" customWidth="1"/>
    <col min="10985" max="10985" width="15" style="303" customWidth="1"/>
    <col min="10986" max="11235" width="9.140625" style="303"/>
    <col min="11236" max="11236" width="49" style="303" customWidth="1"/>
    <col min="11237" max="11237" width="15" style="303" customWidth="1"/>
    <col min="11238" max="11238" width="2.42578125" style="303" customWidth="1"/>
    <col min="11239" max="11239" width="15" style="303" customWidth="1"/>
    <col min="11240" max="11240" width="14.7109375" style="303" customWidth="1"/>
    <col min="11241" max="11241" width="15" style="303" customWidth="1"/>
    <col min="11242" max="11491" width="9.140625" style="303"/>
    <col min="11492" max="11492" width="49" style="303" customWidth="1"/>
    <col min="11493" max="11493" width="15" style="303" customWidth="1"/>
    <col min="11494" max="11494" width="2.42578125" style="303" customWidth="1"/>
    <col min="11495" max="11495" width="15" style="303" customWidth="1"/>
    <col min="11496" max="11496" width="14.7109375" style="303" customWidth="1"/>
    <col min="11497" max="11497" width="15" style="303" customWidth="1"/>
    <col min="11498" max="11747" width="9.140625" style="303"/>
    <col min="11748" max="11748" width="49" style="303" customWidth="1"/>
    <col min="11749" max="11749" width="15" style="303" customWidth="1"/>
    <col min="11750" max="11750" width="2.42578125" style="303" customWidth="1"/>
    <col min="11751" max="11751" width="15" style="303" customWidth="1"/>
    <col min="11752" max="11752" width="14.7109375" style="303" customWidth="1"/>
    <col min="11753" max="11753" width="15" style="303" customWidth="1"/>
    <col min="11754" max="12003" width="9.140625" style="303"/>
    <col min="12004" max="12004" width="49" style="303" customWidth="1"/>
    <col min="12005" max="12005" width="15" style="303" customWidth="1"/>
    <col min="12006" max="12006" width="2.42578125" style="303" customWidth="1"/>
    <col min="12007" max="12007" width="15" style="303" customWidth="1"/>
    <col min="12008" max="12008" width="14.7109375" style="303" customWidth="1"/>
    <col min="12009" max="12009" width="15" style="303" customWidth="1"/>
    <col min="12010" max="12259" width="9.140625" style="303"/>
    <col min="12260" max="12260" width="49" style="303" customWidth="1"/>
    <col min="12261" max="12261" width="15" style="303" customWidth="1"/>
    <col min="12262" max="12262" width="2.42578125" style="303" customWidth="1"/>
    <col min="12263" max="12263" width="15" style="303" customWidth="1"/>
    <col min="12264" max="12264" width="14.7109375" style="303" customWidth="1"/>
    <col min="12265" max="12265" width="15" style="303" customWidth="1"/>
    <col min="12266" max="12515" width="9.140625" style="303"/>
    <col min="12516" max="12516" width="49" style="303" customWidth="1"/>
    <col min="12517" max="12517" width="15" style="303" customWidth="1"/>
    <col min="12518" max="12518" width="2.42578125" style="303" customWidth="1"/>
    <col min="12519" max="12519" width="15" style="303" customWidth="1"/>
    <col min="12520" max="12520" width="14.7109375" style="303" customWidth="1"/>
    <col min="12521" max="12521" width="15" style="303" customWidth="1"/>
    <col min="12522" max="12771" width="9.140625" style="303"/>
    <col min="12772" max="12772" width="49" style="303" customWidth="1"/>
    <col min="12773" max="12773" width="15" style="303" customWidth="1"/>
    <col min="12774" max="12774" width="2.42578125" style="303" customWidth="1"/>
    <col min="12775" max="12775" width="15" style="303" customWidth="1"/>
    <col min="12776" max="12776" width="14.7109375" style="303" customWidth="1"/>
    <col min="12777" max="12777" width="15" style="303" customWidth="1"/>
    <col min="12778" max="13027" width="9.140625" style="303"/>
    <col min="13028" max="13028" width="49" style="303" customWidth="1"/>
    <col min="13029" max="13029" width="15" style="303" customWidth="1"/>
    <col min="13030" max="13030" width="2.42578125" style="303" customWidth="1"/>
    <col min="13031" max="13031" width="15" style="303" customWidth="1"/>
    <col min="13032" max="13032" width="14.7109375" style="303" customWidth="1"/>
    <col min="13033" max="13033" width="15" style="303" customWidth="1"/>
    <col min="13034" max="13283" width="9.140625" style="303"/>
    <col min="13284" max="13284" width="49" style="303" customWidth="1"/>
    <col min="13285" max="13285" width="15" style="303" customWidth="1"/>
    <col min="13286" max="13286" width="2.42578125" style="303" customWidth="1"/>
    <col min="13287" max="13287" width="15" style="303" customWidth="1"/>
    <col min="13288" max="13288" width="14.7109375" style="303" customWidth="1"/>
    <col min="13289" max="13289" width="15" style="303" customWidth="1"/>
    <col min="13290" max="13539" width="9.140625" style="303"/>
    <col min="13540" max="13540" width="49" style="303" customWidth="1"/>
    <col min="13541" max="13541" width="15" style="303" customWidth="1"/>
    <col min="13542" max="13542" width="2.42578125" style="303" customWidth="1"/>
    <col min="13543" max="13543" width="15" style="303" customWidth="1"/>
    <col min="13544" max="13544" width="14.7109375" style="303" customWidth="1"/>
    <col min="13545" max="13545" width="15" style="303" customWidth="1"/>
    <col min="13546" max="13795" width="9.140625" style="303"/>
    <col min="13796" max="13796" width="49" style="303" customWidth="1"/>
    <col min="13797" max="13797" width="15" style="303" customWidth="1"/>
    <col min="13798" max="13798" width="2.42578125" style="303" customWidth="1"/>
    <col min="13799" max="13799" width="15" style="303" customWidth="1"/>
    <col min="13800" max="13800" width="14.7109375" style="303" customWidth="1"/>
    <col min="13801" max="13801" width="15" style="303" customWidth="1"/>
    <col min="13802" max="14051" width="9.140625" style="303"/>
    <col min="14052" max="14052" width="49" style="303" customWidth="1"/>
    <col min="14053" max="14053" width="15" style="303" customWidth="1"/>
    <col min="14054" max="14054" width="2.42578125" style="303" customWidth="1"/>
    <col min="14055" max="14055" width="15" style="303" customWidth="1"/>
    <col min="14056" max="14056" width="14.7109375" style="303" customWidth="1"/>
    <col min="14057" max="14057" width="15" style="303" customWidth="1"/>
    <col min="14058" max="14307" width="9.140625" style="303"/>
    <col min="14308" max="14308" width="49" style="303" customWidth="1"/>
    <col min="14309" max="14309" width="15" style="303" customWidth="1"/>
    <col min="14310" max="14310" width="2.42578125" style="303" customWidth="1"/>
    <col min="14311" max="14311" width="15" style="303" customWidth="1"/>
    <col min="14312" max="14312" width="14.7109375" style="303" customWidth="1"/>
    <col min="14313" max="14313" width="15" style="303" customWidth="1"/>
    <col min="14314" max="14563" width="9.140625" style="303"/>
    <col min="14564" max="14564" width="49" style="303" customWidth="1"/>
    <col min="14565" max="14565" width="15" style="303" customWidth="1"/>
    <col min="14566" max="14566" width="2.42578125" style="303" customWidth="1"/>
    <col min="14567" max="14567" width="15" style="303" customWidth="1"/>
    <col min="14568" max="14568" width="14.7109375" style="303" customWidth="1"/>
    <col min="14569" max="14569" width="15" style="303" customWidth="1"/>
    <col min="14570" max="14819" width="9.140625" style="303"/>
    <col min="14820" max="14820" width="49" style="303" customWidth="1"/>
    <col min="14821" max="14821" width="15" style="303" customWidth="1"/>
    <col min="14822" max="14822" width="2.42578125" style="303" customWidth="1"/>
    <col min="14823" max="14823" width="15" style="303" customWidth="1"/>
    <col min="14824" max="14824" width="14.7109375" style="303" customWidth="1"/>
    <col min="14825" max="14825" width="15" style="303" customWidth="1"/>
    <col min="14826" max="15075" width="9.140625" style="303"/>
    <col min="15076" max="15076" width="49" style="303" customWidth="1"/>
    <col min="15077" max="15077" width="15" style="303" customWidth="1"/>
    <col min="15078" max="15078" width="2.42578125" style="303" customWidth="1"/>
    <col min="15079" max="15079" width="15" style="303" customWidth="1"/>
    <col min="15080" max="15080" width="14.7109375" style="303" customWidth="1"/>
    <col min="15081" max="15081" width="15" style="303" customWidth="1"/>
    <col min="15082" max="15331" width="9.140625" style="303"/>
    <col min="15332" max="15332" width="49" style="303" customWidth="1"/>
    <col min="15333" max="15333" width="15" style="303" customWidth="1"/>
    <col min="15334" max="15334" width="2.42578125" style="303" customWidth="1"/>
    <col min="15335" max="15335" width="15" style="303" customWidth="1"/>
    <col min="15336" max="15336" width="14.7109375" style="303" customWidth="1"/>
    <col min="15337" max="15337" width="15" style="303" customWidth="1"/>
    <col min="15338" max="15587" width="9.140625" style="303"/>
    <col min="15588" max="15588" width="49" style="303" customWidth="1"/>
    <col min="15589" max="15589" width="15" style="303" customWidth="1"/>
    <col min="15590" max="15590" width="2.42578125" style="303" customWidth="1"/>
    <col min="15591" max="15591" width="15" style="303" customWidth="1"/>
    <col min="15592" max="15592" width="14.7109375" style="303" customWidth="1"/>
    <col min="15593" max="15593" width="15" style="303" customWidth="1"/>
    <col min="15594" max="15843" width="9.140625" style="303"/>
    <col min="15844" max="15844" width="49" style="303" customWidth="1"/>
    <col min="15845" max="15845" width="15" style="303" customWidth="1"/>
    <col min="15846" max="15846" width="2.42578125" style="303" customWidth="1"/>
    <col min="15847" max="15847" width="15" style="303" customWidth="1"/>
    <col min="15848" max="15848" width="14.7109375" style="303" customWidth="1"/>
    <col min="15849" max="15849" width="15" style="303" customWidth="1"/>
    <col min="15850" max="16099" width="9.140625" style="303"/>
    <col min="16100" max="16100" width="49" style="303" customWidth="1"/>
    <col min="16101" max="16101" width="15" style="303" customWidth="1"/>
    <col min="16102" max="16102" width="2.42578125" style="303" customWidth="1"/>
    <col min="16103" max="16103" width="15" style="303" customWidth="1"/>
    <col min="16104" max="16104" width="14.7109375" style="303" customWidth="1"/>
    <col min="16105" max="16105" width="15" style="303" customWidth="1"/>
    <col min="16106" max="16384" width="9.140625" style="303"/>
  </cols>
  <sheetData>
    <row r="1" spans="1:26" x14ac:dyDescent="0.2">
      <c r="A1" s="507" t="s">
        <v>641</v>
      </c>
      <c r="B1" s="507"/>
      <c r="C1" s="507"/>
      <c r="D1" s="507"/>
      <c r="E1" s="303"/>
    </row>
    <row r="2" spans="1:26" x14ac:dyDescent="0.2">
      <c r="A2" s="507" t="s">
        <v>571</v>
      </c>
      <c r="B2" s="507"/>
      <c r="C2" s="507"/>
      <c r="D2" s="507"/>
      <c r="E2" s="303"/>
    </row>
    <row r="3" spans="1:26" x14ac:dyDescent="0.2">
      <c r="A3" s="508" t="s">
        <v>640</v>
      </c>
      <c r="B3" s="508"/>
      <c r="C3" s="508"/>
      <c r="D3" s="508"/>
      <c r="E3" s="303"/>
    </row>
    <row r="4" spans="1:26" ht="15" thickBot="1" x14ac:dyDescent="0.25"/>
    <row r="5" spans="1:26" ht="43.5" customHeight="1" thickBot="1" x14ac:dyDescent="0.25">
      <c r="A5" s="361"/>
      <c r="B5" s="362" t="s">
        <v>572</v>
      </c>
      <c r="C5" s="363" t="s">
        <v>631</v>
      </c>
      <c r="D5" s="363" t="s">
        <v>573</v>
      </c>
      <c r="E5" s="363" t="s">
        <v>574</v>
      </c>
      <c r="L5" s="306">
        <v>45351</v>
      </c>
      <c r="M5" s="303">
        <v>1.0504201680672201</v>
      </c>
      <c r="S5" s="363" t="s">
        <v>630</v>
      </c>
      <c r="T5" s="363" t="s">
        <v>634</v>
      </c>
      <c r="X5" s="429" t="s">
        <v>636</v>
      </c>
    </row>
    <row r="6" spans="1:26" ht="12.95" customHeight="1" x14ac:dyDescent="0.2">
      <c r="A6" s="364"/>
      <c r="B6" s="365" t="s">
        <v>575</v>
      </c>
      <c r="C6" s="365" t="s">
        <v>575</v>
      </c>
      <c r="D6" s="365" t="s">
        <v>575</v>
      </c>
      <c r="E6" s="365" t="s">
        <v>575</v>
      </c>
      <c r="F6" s="366" t="s">
        <v>576</v>
      </c>
      <c r="G6" s="367"/>
      <c r="H6" s="367"/>
      <c r="I6" s="367"/>
      <c r="J6" s="367"/>
      <c r="K6" s="367"/>
      <c r="L6" s="367"/>
      <c r="M6" s="367"/>
      <c r="N6" s="367"/>
      <c r="O6" s="367"/>
      <c r="P6" s="367"/>
      <c r="Q6" s="367"/>
      <c r="R6" s="367"/>
      <c r="S6" s="365" t="s">
        <v>575</v>
      </c>
      <c r="T6" s="368" t="s">
        <v>575</v>
      </c>
      <c r="X6" s="430" t="s">
        <v>575</v>
      </c>
    </row>
    <row r="7" spans="1:26" ht="12.95" customHeight="1" x14ac:dyDescent="0.2">
      <c r="A7" s="308" t="s">
        <v>577</v>
      </c>
      <c r="B7" s="369">
        <v>-311292</v>
      </c>
      <c r="C7" s="310">
        <v>-60086</v>
      </c>
      <c r="D7" s="310">
        <f>[1]Biudzetas!D135</f>
        <v>-50275.06</v>
      </c>
      <c r="E7" s="310">
        <f>[1]Biudzetas!D2+[1]Biudzetas!G2</f>
        <v>-99135.210000000021</v>
      </c>
      <c r="F7" s="370" t="s">
        <v>578</v>
      </c>
      <c r="G7" s="353"/>
      <c r="H7" s="353"/>
      <c r="I7" s="353"/>
      <c r="J7" s="353"/>
      <c r="K7" s="353"/>
      <c r="L7" s="353"/>
      <c r="M7" s="353"/>
      <c r="N7" s="353"/>
      <c r="O7" s="353"/>
      <c r="P7" s="353"/>
      <c r="Q7" s="353"/>
      <c r="R7" s="353"/>
      <c r="S7" s="310">
        <v>109291.44</v>
      </c>
      <c r="T7" s="309">
        <f>+Biudžetas!L6</f>
        <v>-42451.599999999977</v>
      </c>
      <c r="X7" s="431">
        <v>-630873</v>
      </c>
    </row>
    <row r="8" spans="1:26" ht="12.95" customHeight="1" x14ac:dyDescent="0.2">
      <c r="A8" s="311" t="s">
        <v>182</v>
      </c>
      <c r="B8" s="315">
        <v>90000</v>
      </c>
      <c r="C8" s="313">
        <v>105000</v>
      </c>
      <c r="D8" s="313">
        <f>[1]Biudzetas!D117</f>
        <v>8640.9599999999991</v>
      </c>
      <c r="E8" s="313">
        <f>[1]Biudzetas!D117+[1]Biudzetas!G117</f>
        <v>17252.62</v>
      </c>
      <c r="F8" s="370" t="s">
        <v>579</v>
      </c>
      <c r="G8" s="353"/>
      <c r="H8" s="353"/>
      <c r="I8" s="353"/>
      <c r="J8" s="353">
        <f>252000</f>
        <v>252000</v>
      </c>
      <c r="K8" s="353" t="s">
        <v>580</v>
      </c>
      <c r="L8" s="353">
        <f>J8*M5</f>
        <v>264705.88235293946</v>
      </c>
      <c r="M8" s="353" t="s">
        <v>575</v>
      </c>
      <c r="N8" s="353">
        <f>L8</f>
        <v>264705.88235293946</v>
      </c>
      <c r="O8" s="353"/>
      <c r="P8" s="353"/>
      <c r="Q8" s="353"/>
      <c r="R8" s="353"/>
      <c r="S8" s="313">
        <v>57551.41</v>
      </c>
      <c r="T8" s="312">
        <f>+Biudžetas!L122</f>
        <v>104071.6</v>
      </c>
      <c r="X8" s="432">
        <v>102009</v>
      </c>
    </row>
    <row r="9" spans="1:26" ht="12.95" customHeight="1" x14ac:dyDescent="0.2">
      <c r="A9" s="311" t="s">
        <v>581</v>
      </c>
      <c r="B9" s="315">
        <v>0</v>
      </c>
      <c r="C9" s="315"/>
      <c r="D9" s="315"/>
      <c r="E9" s="315"/>
      <c r="F9" s="370" t="s">
        <v>582</v>
      </c>
      <c r="G9" s="353"/>
      <c r="H9" s="353"/>
      <c r="I9" s="353"/>
      <c r="J9" s="353">
        <v>28000</v>
      </c>
      <c r="K9" s="353" t="s">
        <v>580</v>
      </c>
      <c r="L9" s="353">
        <f>J9*M5</f>
        <v>29411.76470588216</v>
      </c>
      <c r="M9" s="353" t="s">
        <v>575</v>
      </c>
      <c r="N9" s="353"/>
      <c r="O9" s="353">
        <f>L9</f>
        <v>29411.76470588216</v>
      </c>
      <c r="P9" s="353"/>
      <c r="Q9" s="353"/>
      <c r="R9" s="353"/>
      <c r="S9" s="315"/>
      <c r="T9" s="314"/>
      <c r="U9" s="316"/>
      <c r="X9" s="433"/>
    </row>
    <row r="10" spans="1:26" ht="12.95" customHeight="1" x14ac:dyDescent="0.2">
      <c r="A10" s="311" t="s">
        <v>583</v>
      </c>
      <c r="B10" s="322">
        <v>26000</v>
      </c>
      <c r="C10" s="313">
        <v>46000</v>
      </c>
      <c r="D10" s="313">
        <f>[1]Biudzetas!D15</f>
        <v>0</v>
      </c>
      <c r="E10" s="313">
        <v>0</v>
      </c>
      <c r="F10" s="353"/>
      <c r="G10" s="353"/>
      <c r="H10" s="353"/>
      <c r="I10" s="353"/>
      <c r="J10" s="371">
        <f>SUM(J8:J9)</f>
        <v>280000</v>
      </c>
      <c r="K10" s="353" t="s">
        <v>580</v>
      </c>
      <c r="L10" s="371">
        <f>SUM(L8:L9)</f>
        <v>294117.64705882163</v>
      </c>
      <c r="M10" s="353" t="s">
        <v>575</v>
      </c>
      <c r="N10" s="353"/>
      <c r="O10" s="353"/>
      <c r="P10" s="353"/>
      <c r="Q10" s="353"/>
      <c r="R10" s="353"/>
      <c r="S10" s="313"/>
      <c r="T10" s="312">
        <v>46000</v>
      </c>
      <c r="X10" s="432">
        <v>64679.85</v>
      </c>
    </row>
    <row r="11" spans="1:26" ht="12.95" customHeight="1" x14ac:dyDescent="0.2">
      <c r="A11" s="318" t="s">
        <v>584</v>
      </c>
      <c r="B11" s="372">
        <f>SUM(B7:B10)</f>
        <v>-195292</v>
      </c>
      <c r="C11" s="372">
        <f>SUM(C7:C10)</f>
        <v>90914</v>
      </c>
      <c r="D11" s="372">
        <f>SUM(D7:D10)</f>
        <v>-41634.1</v>
      </c>
      <c r="E11" s="372">
        <f>SUM(E7:E10)</f>
        <v>-81882.590000000026</v>
      </c>
      <c r="F11" s="373" t="s">
        <v>585</v>
      </c>
      <c r="G11" s="353"/>
      <c r="H11" s="353"/>
      <c r="I11" s="353"/>
      <c r="J11" s="353"/>
      <c r="K11" s="353"/>
      <c r="L11" s="353"/>
      <c r="M11" s="353"/>
      <c r="N11" s="353"/>
      <c r="O11" s="353"/>
      <c r="P11" s="353"/>
      <c r="Q11" s="353"/>
      <c r="R11" s="353"/>
      <c r="S11" s="372">
        <f>SUM(S7:S10)</f>
        <v>166842.85</v>
      </c>
      <c r="T11" s="319">
        <f>SUM(T7:T10)</f>
        <v>107620.00000000003</v>
      </c>
      <c r="X11" s="434">
        <f>SUM(X7:X10)</f>
        <v>-464184.15</v>
      </c>
    </row>
    <row r="12" spans="1:26" ht="12.95" customHeight="1" x14ac:dyDescent="0.2">
      <c r="A12" s="307" t="s">
        <v>586</v>
      </c>
      <c r="B12" s="374"/>
      <c r="C12" s="374"/>
      <c r="D12" s="374"/>
      <c r="E12" s="374"/>
      <c r="F12" s="370" t="s">
        <v>587</v>
      </c>
      <c r="G12" s="353"/>
      <c r="H12" s="353"/>
      <c r="I12" s="353"/>
      <c r="J12" s="353"/>
      <c r="K12" s="353"/>
      <c r="L12" s="353"/>
      <c r="M12" s="353"/>
      <c r="N12" s="353"/>
      <c r="O12" s="353"/>
      <c r="P12" s="353"/>
      <c r="Q12" s="353"/>
      <c r="R12" s="353"/>
      <c r="S12" s="320">
        <f>904576.51-858254.34</f>
        <v>46322.170000000042</v>
      </c>
      <c r="T12" s="375"/>
      <c r="X12" s="435">
        <f>1540294.43-1910526.08</f>
        <v>-370231.65000000014</v>
      </c>
      <c r="Z12" s="384"/>
    </row>
    <row r="13" spans="1:26" ht="12.95" customHeight="1" x14ac:dyDescent="0.2">
      <c r="A13" s="307" t="s">
        <v>588</v>
      </c>
      <c r="B13" s="322">
        <v>-98008.59</v>
      </c>
      <c r="C13" s="322">
        <v>0</v>
      </c>
      <c r="D13" s="322">
        <v>0</v>
      </c>
      <c r="E13" s="322">
        <v>0</v>
      </c>
      <c r="F13" s="370" t="s">
        <v>589</v>
      </c>
      <c r="G13" s="353"/>
      <c r="H13" s="353"/>
      <c r="I13" s="353"/>
      <c r="J13" s="353">
        <v>300950</v>
      </c>
      <c r="K13" s="353" t="s">
        <v>580</v>
      </c>
      <c r="L13" s="353">
        <f>J13*M5</f>
        <v>316123.94957982987</v>
      </c>
      <c r="M13" s="353" t="s">
        <v>575</v>
      </c>
      <c r="N13" s="353">
        <f>L13</f>
        <v>316123.94957982987</v>
      </c>
      <c r="O13" s="353"/>
      <c r="P13" s="353"/>
      <c r="Q13" s="353"/>
      <c r="R13" s="353"/>
      <c r="S13" s="322">
        <v>0</v>
      </c>
      <c r="T13" s="321"/>
      <c r="X13" s="436"/>
      <c r="Y13" s="427"/>
    </row>
    <row r="14" spans="1:26" ht="12.95" customHeight="1" x14ac:dyDescent="0.2">
      <c r="A14" s="307" t="s">
        <v>590</v>
      </c>
      <c r="B14" s="374"/>
      <c r="C14" s="323"/>
      <c r="D14" s="323">
        <f>[1]Biudzetas!D18</f>
        <v>1093.97</v>
      </c>
      <c r="E14" s="323">
        <f>[1]Biudzetas!D18+[1]Biudzetas!G18</f>
        <v>1673.26</v>
      </c>
      <c r="F14" s="370" t="s">
        <v>591</v>
      </c>
      <c r="G14" s="353"/>
      <c r="H14" s="353"/>
      <c r="I14" s="353"/>
      <c r="J14" s="353">
        <v>33438</v>
      </c>
      <c r="K14" s="353" t="s">
        <v>580</v>
      </c>
      <c r="L14" s="353">
        <f>J14*M5</f>
        <v>35123.949579831708</v>
      </c>
      <c r="M14" s="353" t="s">
        <v>575</v>
      </c>
      <c r="N14" s="353"/>
      <c r="O14" s="353">
        <f>L14</f>
        <v>35123.949579831708</v>
      </c>
      <c r="P14" s="353"/>
      <c r="Q14" s="353"/>
      <c r="R14" s="353"/>
      <c r="S14" s="313">
        <v>40260.800000000003</v>
      </c>
      <c r="T14" s="312">
        <f>+Biudžetas!L22</f>
        <v>30000</v>
      </c>
      <c r="X14" s="437">
        <v>63775.32</v>
      </c>
    </row>
    <row r="15" spans="1:26" ht="12.95" customHeight="1" x14ac:dyDescent="0.2">
      <c r="A15" s="358" t="s">
        <v>592</v>
      </c>
      <c r="B15" s="360">
        <f>SUM(B11:B14)</f>
        <v>-293300.58999999997</v>
      </c>
      <c r="C15" s="360">
        <f>SUM(C11:C14)</f>
        <v>90914</v>
      </c>
      <c r="D15" s="360">
        <f>SUM(D11:D14)</f>
        <v>-40540.129999999997</v>
      </c>
      <c r="E15" s="360">
        <f>SUM(E11:E14)</f>
        <v>-80209.330000000031</v>
      </c>
      <c r="F15" s="376"/>
      <c r="G15" s="376"/>
      <c r="H15" s="376"/>
      <c r="I15" s="376"/>
      <c r="J15" s="377">
        <f>SUM(J13:J14)</f>
        <v>334388</v>
      </c>
      <c r="K15" s="376"/>
      <c r="L15" s="377">
        <f>SUM(L13:L14)</f>
        <v>351247.89915966161</v>
      </c>
      <c r="M15" s="376" t="s">
        <v>575</v>
      </c>
      <c r="N15" s="376"/>
      <c r="O15" s="376"/>
      <c r="P15" s="376"/>
      <c r="Q15" s="376"/>
      <c r="R15" s="376"/>
      <c r="S15" s="360">
        <f>SUM(S11:S14)</f>
        <v>253425.82000000007</v>
      </c>
      <c r="T15" s="359">
        <f>SUM(T11:T14)</f>
        <v>137620.00000000003</v>
      </c>
      <c r="X15" s="456">
        <f>SUM(X11:X14)</f>
        <v>-770640.48000000021</v>
      </c>
    </row>
    <row r="16" spans="1:26" ht="12.95" customHeight="1" x14ac:dyDescent="0.2">
      <c r="A16" s="318"/>
      <c r="B16" s="325"/>
      <c r="C16" s="325"/>
      <c r="D16" s="325"/>
      <c r="E16" s="325"/>
      <c r="F16" s="353"/>
      <c r="G16" s="353"/>
      <c r="H16" s="353"/>
      <c r="I16" s="353"/>
      <c r="J16" s="353"/>
      <c r="K16" s="353"/>
      <c r="L16" s="371"/>
      <c r="M16" s="353"/>
      <c r="N16" s="353"/>
      <c r="O16" s="353"/>
      <c r="P16" s="353"/>
      <c r="Q16" s="353"/>
      <c r="R16" s="353"/>
      <c r="S16" s="325"/>
      <c r="T16" s="324"/>
      <c r="X16" s="438"/>
    </row>
    <row r="17" spans="1:24" ht="12.95" customHeight="1" x14ac:dyDescent="0.2">
      <c r="A17" s="308" t="s">
        <v>593</v>
      </c>
      <c r="B17" s="325"/>
      <c r="C17" s="325"/>
      <c r="D17" s="325"/>
      <c r="E17" s="325"/>
      <c r="F17" s="353"/>
      <c r="G17" s="353"/>
      <c r="H17" s="353"/>
      <c r="I17" s="353"/>
      <c r="J17" s="371">
        <f>J10+J15</f>
        <v>614388</v>
      </c>
      <c r="K17" s="353" t="s">
        <v>580</v>
      </c>
      <c r="L17" s="371">
        <f>L10+L15</f>
        <v>645365.54621848324</v>
      </c>
      <c r="M17" s="353" t="s">
        <v>575</v>
      </c>
      <c r="N17" s="371">
        <f>SUM(N8:N16)</f>
        <v>580829.83193276939</v>
      </c>
      <c r="O17" s="371">
        <f>SUM(O8:O16)</f>
        <v>64535.714285713868</v>
      </c>
      <c r="P17" s="353"/>
      <c r="Q17" s="353"/>
      <c r="R17" s="353"/>
      <c r="S17" s="325"/>
      <c r="T17" s="324"/>
      <c r="X17" s="438"/>
    </row>
    <row r="18" spans="1:24" ht="12.95" customHeight="1" x14ac:dyDescent="0.2">
      <c r="A18" s="307" t="s">
        <v>594</v>
      </c>
      <c r="B18" s="327">
        <v>0</v>
      </c>
      <c r="C18" s="327">
        <v>0</v>
      </c>
      <c r="D18" s="327">
        <v>0</v>
      </c>
      <c r="E18" s="327">
        <v>0</v>
      </c>
      <c r="F18" s="353"/>
      <c r="G18" s="353"/>
      <c r="H18" s="353"/>
      <c r="I18" s="353"/>
      <c r="J18" s="353"/>
      <c r="K18" s="353"/>
      <c r="L18" s="353"/>
      <c r="M18" s="353"/>
      <c r="N18" s="353"/>
      <c r="O18" s="353"/>
      <c r="P18" s="353"/>
      <c r="Q18" s="353"/>
      <c r="R18" s="353"/>
      <c r="S18" s="327">
        <v>0</v>
      </c>
      <c r="T18" s="326"/>
      <c r="X18" s="439"/>
    </row>
    <row r="19" spans="1:24" ht="12.95" customHeight="1" x14ac:dyDescent="0.2">
      <c r="A19" s="307" t="s">
        <v>595</v>
      </c>
      <c r="B19" s="327">
        <v>0</v>
      </c>
      <c r="C19" s="327">
        <v>0</v>
      </c>
      <c r="D19" s="327">
        <v>0</v>
      </c>
      <c r="E19" s="327">
        <v>0</v>
      </c>
      <c r="F19" s="353"/>
      <c r="G19" s="353"/>
      <c r="H19" s="353"/>
      <c r="I19" s="353"/>
      <c r="J19" s="353"/>
      <c r="K19" s="353"/>
      <c r="L19" s="353"/>
      <c r="M19" s="353"/>
      <c r="N19" s="353"/>
      <c r="O19" s="353"/>
      <c r="P19" s="353"/>
      <c r="Q19" s="353"/>
      <c r="R19" s="353"/>
      <c r="S19" s="327">
        <v>0</v>
      </c>
      <c r="T19" s="326"/>
      <c r="X19" s="439"/>
    </row>
    <row r="20" spans="1:24" ht="12.95" customHeight="1" x14ac:dyDescent="0.2">
      <c r="A20" s="307" t="s">
        <v>596</v>
      </c>
      <c r="B20" s="327">
        <v>0</v>
      </c>
      <c r="C20" s="327">
        <v>0</v>
      </c>
      <c r="D20" s="327">
        <v>0</v>
      </c>
      <c r="E20" s="327">
        <v>0</v>
      </c>
      <c r="F20" s="353"/>
      <c r="G20" s="353"/>
      <c r="H20" s="353"/>
      <c r="I20" s="353"/>
      <c r="J20" s="353"/>
      <c r="K20" s="353"/>
      <c r="L20" s="353"/>
      <c r="M20" s="353"/>
      <c r="N20" s="353"/>
      <c r="O20" s="353"/>
      <c r="P20" s="353"/>
      <c r="Q20" s="353"/>
      <c r="R20" s="353"/>
      <c r="S20" s="327">
        <v>0</v>
      </c>
      <c r="T20" s="326"/>
      <c r="X20" s="439"/>
    </row>
    <row r="21" spans="1:24" ht="12.95" customHeight="1" x14ac:dyDescent="0.2">
      <c r="A21" s="358" t="s">
        <v>593</v>
      </c>
      <c r="B21" s="360">
        <f>SUM(B17:B20)</f>
        <v>0</v>
      </c>
      <c r="C21" s="360">
        <f>SUM(C17:C20)</f>
        <v>0</v>
      </c>
      <c r="D21" s="360">
        <f>SUM(D17:D20)</f>
        <v>0</v>
      </c>
      <c r="E21" s="360">
        <f>SUM(E17:E20)</f>
        <v>0</v>
      </c>
      <c r="F21" s="376"/>
      <c r="G21" s="376"/>
      <c r="H21" s="376"/>
      <c r="I21" s="376"/>
      <c r="J21" s="376"/>
      <c r="K21" s="376"/>
      <c r="L21" s="376"/>
      <c r="M21" s="376"/>
      <c r="N21" s="376"/>
      <c r="O21" s="376"/>
      <c r="P21" s="376"/>
      <c r="Q21" s="376"/>
      <c r="R21" s="376"/>
      <c r="S21" s="360">
        <f>SUM(S17:S20)</f>
        <v>0</v>
      </c>
      <c r="T21" s="359"/>
      <c r="U21" s="317"/>
      <c r="V21" s="316"/>
      <c r="W21" s="316"/>
      <c r="X21" s="456"/>
    </row>
    <row r="22" spans="1:24" ht="12.95" customHeight="1" x14ac:dyDescent="0.2">
      <c r="A22" s="328"/>
      <c r="B22" s="330"/>
      <c r="C22" s="330"/>
      <c r="D22" s="330"/>
      <c r="E22" s="330"/>
      <c r="F22" s="353"/>
      <c r="G22" s="353"/>
      <c r="H22" s="353"/>
      <c r="I22" s="353"/>
      <c r="J22" s="353"/>
      <c r="K22" s="353"/>
      <c r="L22" s="353"/>
      <c r="M22" s="353"/>
      <c r="N22" s="353"/>
      <c r="O22" s="353"/>
      <c r="P22" s="353"/>
      <c r="Q22" s="353"/>
      <c r="R22" s="353"/>
      <c r="S22" s="330"/>
      <c r="T22" s="329"/>
      <c r="X22" s="440"/>
    </row>
    <row r="23" spans="1:24" ht="12.95" customHeight="1" x14ac:dyDescent="0.2">
      <c r="A23" s="308" t="s">
        <v>597</v>
      </c>
      <c r="B23" s="325"/>
      <c r="C23" s="325"/>
      <c r="D23" s="325"/>
      <c r="E23" s="325"/>
      <c r="F23" s="353"/>
      <c r="G23" s="353"/>
      <c r="H23" s="353"/>
      <c r="I23" s="353"/>
      <c r="J23" s="353"/>
      <c r="K23" s="353"/>
      <c r="L23" s="353"/>
      <c r="M23" s="353"/>
      <c r="N23" s="353"/>
      <c r="O23" s="353"/>
      <c r="P23" s="353"/>
      <c r="Q23" s="353"/>
      <c r="R23" s="353"/>
      <c r="S23" s="325"/>
      <c r="T23" s="324"/>
      <c r="X23" s="438"/>
    </row>
    <row r="24" spans="1:24" ht="12.95" customHeight="1" x14ac:dyDescent="0.2">
      <c r="A24" s="307" t="s">
        <v>598</v>
      </c>
      <c r="B24" s="327">
        <v>0</v>
      </c>
      <c r="C24" s="327">
        <v>100000</v>
      </c>
      <c r="D24" s="327"/>
      <c r="E24" s="327"/>
      <c r="F24" s="353"/>
      <c r="G24" s="353"/>
      <c r="H24" s="353"/>
      <c r="I24" s="353"/>
      <c r="J24" s="353"/>
      <c r="K24" s="353"/>
      <c r="L24" s="353"/>
      <c r="M24" s="353"/>
      <c r="N24" s="353"/>
      <c r="O24" s="353"/>
      <c r="P24" s="353"/>
      <c r="Q24" s="353"/>
      <c r="R24" s="353"/>
      <c r="S24" s="327"/>
      <c r="T24" s="326">
        <f>+C24</f>
        <v>100000</v>
      </c>
      <c r="X24" s="439"/>
    </row>
    <row r="25" spans="1:24" ht="12.95" customHeight="1" x14ac:dyDescent="0.2">
      <c r="A25" s="307" t="s">
        <v>599</v>
      </c>
      <c r="B25" s="327">
        <v>0</v>
      </c>
      <c r="C25" s="327">
        <v>-100000</v>
      </c>
      <c r="D25" s="327"/>
      <c r="E25" s="327"/>
      <c r="F25" s="353"/>
      <c r="G25" s="353"/>
      <c r="H25" s="353"/>
      <c r="I25" s="353"/>
      <c r="J25" s="353"/>
      <c r="K25" s="353"/>
      <c r="L25" s="353"/>
      <c r="M25" s="353"/>
      <c r="N25" s="353"/>
      <c r="O25" s="353"/>
      <c r="P25" s="353"/>
      <c r="Q25" s="353"/>
      <c r="R25" s="353"/>
      <c r="S25" s="327"/>
      <c r="T25" s="326">
        <f>+C25</f>
        <v>-100000</v>
      </c>
      <c r="X25" s="439"/>
    </row>
    <row r="26" spans="1:24" ht="12.95" customHeight="1" x14ac:dyDescent="0.2">
      <c r="A26" s="358" t="s">
        <v>597</v>
      </c>
      <c r="B26" s="360">
        <f>SUM(B24:B25)</f>
        <v>0</v>
      </c>
      <c r="C26" s="360">
        <f>SUM(C24:C25)</f>
        <v>0</v>
      </c>
      <c r="D26" s="360">
        <f>SUM(D24:D25)</f>
        <v>0</v>
      </c>
      <c r="E26" s="360">
        <f>SUM(E24:E25)</f>
        <v>0</v>
      </c>
      <c r="F26" s="376"/>
      <c r="G26" s="376"/>
      <c r="H26" s="376"/>
      <c r="I26" s="376"/>
      <c r="J26" s="376"/>
      <c r="K26" s="376"/>
      <c r="L26" s="376"/>
      <c r="M26" s="376"/>
      <c r="N26" s="376"/>
      <c r="O26" s="376"/>
      <c r="P26" s="376"/>
      <c r="Q26" s="376"/>
      <c r="R26" s="376"/>
      <c r="S26" s="360">
        <f>SUM(S24:S25)</f>
        <v>0</v>
      </c>
      <c r="T26" s="359">
        <f>SUM(T24:T25)</f>
        <v>0</v>
      </c>
      <c r="U26" s="317"/>
      <c r="V26" s="331"/>
      <c r="X26" s="456">
        <f>SUM(X24:X25)</f>
        <v>0</v>
      </c>
    </row>
    <row r="27" spans="1:24" ht="12.95" customHeight="1" x14ac:dyDescent="0.2">
      <c r="A27" s="328"/>
      <c r="B27" s="330"/>
      <c r="C27" s="330"/>
      <c r="D27" s="330"/>
      <c r="E27" s="330"/>
      <c r="F27" s="353"/>
      <c r="G27" s="353"/>
      <c r="H27" s="353"/>
      <c r="I27" s="353"/>
      <c r="J27" s="353"/>
      <c r="K27" s="353"/>
      <c r="L27" s="353"/>
      <c r="M27" s="353"/>
      <c r="N27" s="353"/>
      <c r="O27" s="353"/>
      <c r="P27" s="353"/>
      <c r="Q27" s="353"/>
      <c r="R27" s="353"/>
      <c r="S27" s="330"/>
      <c r="T27" s="329"/>
      <c r="X27" s="440"/>
    </row>
    <row r="28" spans="1:24" ht="12.95" customHeight="1" x14ac:dyDescent="0.2">
      <c r="A28" s="307" t="s">
        <v>600</v>
      </c>
      <c r="B28" s="327">
        <v>0</v>
      </c>
      <c r="C28" s="327">
        <v>0</v>
      </c>
      <c r="D28" s="327">
        <v>0</v>
      </c>
      <c r="E28" s="327">
        <v>0</v>
      </c>
      <c r="F28" s="353"/>
      <c r="G28" s="353"/>
      <c r="H28" s="353"/>
      <c r="I28" s="353"/>
      <c r="J28" s="353"/>
      <c r="K28" s="353"/>
      <c r="L28" s="353"/>
      <c r="M28" s="353"/>
      <c r="N28" s="353"/>
      <c r="O28" s="353"/>
      <c r="P28" s="353"/>
      <c r="Q28" s="353"/>
      <c r="R28" s="353"/>
      <c r="S28" s="327">
        <v>0</v>
      </c>
      <c r="T28" s="326"/>
      <c r="X28" s="439"/>
    </row>
    <row r="29" spans="1:24" ht="12.95" customHeight="1" x14ac:dyDescent="0.2">
      <c r="A29" s="307" t="s">
        <v>601</v>
      </c>
      <c r="B29" s="327">
        <v>0</v>
      </c>
      <c r="C29" s="327">
        <v>0</v>
      </c>
      <c r="D29" s="327">
        <v>0</v>
      </c>
      <c r="E29" s="327">
        <v>0</v>
      </c>
      <c r="F29" s="353"/>
      <c r="G29" s="353"/>
      <c r="H29" s="353"/>
      <c r="I29" s="353"/>
      <c r="J29" s="353"/>
      <c r="K29" s="353"/>
      <c r="L29" s="353"/>
      <c r="M29" s="353"/>
      <c r="N29" s="353"/>
      <c r="O29" s="353"/>
      <c r="P29" s="353"/>
      <c r="Q29" s="353"/>
      <c r="R29" s="353"/>
      <c r="S29" s="327">
        <v>0</v>
      </c>
      <c r="T29" s="326"/>
      <c r="X29" s="439"/>
    </row>
    <row r="30" spans="1:24" ht="12.95" customHeight="1" x14ac:dyDescent="0.2">
      <c r="A30" s="307" t="s">
        <v>602</v>
      </c>
      <c r="B30" s="327">
        <v>0</v>
      </c>
      <c r="C30" s="327">
        <v>0</v>
      </c>
      <c r="D30" s="327">
        <v>0</v>
      </c>
      <c r="E30" s="327">
        <v>0</v>
      </c>
      <c r="F30" s="353"/>
      <c r="G30" s="353"/>
      <c r="H30" s="353"/>
      <c r="I30" s="353"/>
      <c r="J30" s="353"/>
      <c r="K30" s="353"/>
      <c r="L30" s="353"/>
      <c r="M30" s="353"/>
      <c r="N30" s="353"/>
      <c r="O30" s="353"/>
      <c r="P30" s="353"/>
      <c r="Q30" s="353"/>
      <c r="R30" s="353"/>
      <c r="S30" s="327">
        <v>0</v>
      </c>
      <c r="T30" s="326"/>
      <c r="X30" s="439"/>
    </row>
    <row r="31" spans="1:24" ht="12.95" customHeight="1" x14ac:dyDescent="0.2">
      <c r="A31" s="307" t="s">
        <v>603</v>
      </c>
      <c r="B31" s="327">
        <v>0</v>
      </c>
      <c r="C31" s="327">
        <v>0</v>
      </c>
      <c r="D31" s="327">
        <v>0</v>
      </c>
      <c r="E31" s="327">
        <v>0</v>
      </c>
      <c r="F31" s="353"/>
      <c r="G31" s="353"/>
      <c r="H31" s="353"/>
      <c r="I31" s="353"/>
      <c r="J31" s="353"/>
      <c r="K31" s="353"/>
      <c r="L31" s="353"/>
      <c r="M31" s="353"/>
      <c r="N31" s="353"/>
      <c r="O31" s="353"/>
      <c r="P31" s="353"/>
      <c r="Q31" s="353"/>
      <c r="R31" s="353"/>
      <c r="S31" s="327">
        <v>0</v>
      </c>
      <c r="T31" s="326"/>
      <c r="X31" s="439"/>
    </row>
    <row r="32" spans="1:24" ht="12.95" customHeight="1" x14ac:dyDescent="0.2">
      <c r="A32" s="358" t="s">
        <v>604</v>
      </c>
      <c r="B32" s="360">
        <f>SUM(B26:B31)</f>
        <v>0</v>
      </c>
      <c r="C32" s="360">
        <f>SUM(C26:C31)</f>
        <v>0</v>
      </c>
      <c r="D32" s="360">
        <f>SUM(D26:D31)</f>
        <v>0</v>
      </c>
      <c r="E32" s="360">
        <f>SUM(E26:E31)</f>
        <v>0</v>
      </c>
      <c r="F32" s="376"/>
      <c r="G32" s="376"/>
      <c r="H32" s="376"/>
      <c r="I32" s="376"/>
      <c r="J32" s="376"/>
      <c r="K32" s="376"/>
      <c r="L32" s="376"/>
      <c r="M32" s="376"/>
      <c r="N32" s="376"/>
      <c r="O32" s="376"/>
      <c r="P32" s="376"/>
      <c r="Q32" s="376"/>
      <c r="R32" s="376"/>
      <c r="S32" s="360">
        <f>SUM(S28:S31)</f>
        <v>0</v>
      </c>
      <c r="T32" s="359"/>
      <c r="X32" s="456"/>
    </row>
    <row r="33" spans="1:24" ht="12.95" customHeight="1" x14ac:dyDescent="0.2">
      <c r="A33" s="307"/>
      <c r="B33" s="333"/>
      <c r="C33" s="333"/>
      <c r="D33" s="333"/>
      <c r="E33" s="333"/>
      <c r="F33" s="353"/>
      <c r="G33" s="353"/>
      <c r="H33" s="353"/>
      <c r="I33" s="353"/>
      <c r="J33" s="353"/>
      <c r="K33" s="353"/>
      <c r="L33" s="353"/>
      <c r="M33" s="353"/>
      <c r="N33" s="353"/>
      <c r="O33" s="353"/>
      <c r="P33" s="353"/>
      <c r="Q33" s="353"/>
      <c r="R33" s="353"/>
      <c r="S33" s="333"/>
      <c r="T33" s="332"/>
      <c r="X33" s="441"/>
    </row>
    <row r="34" spans="1:24" ht="12.95" customHeight="1" thickBot="1" x14ac:dyDescent="0.25">
      <c r="A34" s="308" t="s">
        <v>605</v>
      </c>
      <c r="B34" s="333"/>
      <c r="C34" s="333"/>
      <c r="D34" s="333"/>
      <c r="E34" s="333"/>
      <c r="F34" s="353"/>
      <c r="G34" s="353"/>
      <c r="H34" s="353"/>
      <c r="I34" s="353"/>
      <c r="J34" s="353"/>
      <c r="K34" s="353"/>
      <c r="L34" s="353"/>
      <c r="M34" s="353"/>
      <c r="N34" s="353"/>
      <c r="O34" s="353"/>
      <c r="P34" s="353"/>
      <c r="Q34" s="353"/>
      <c r="R34" s="353"/>
      <c r="S34" s="333"/>
      <c r="T34" s="332"/>
      <c r="X34" s="442"/>
    </row>
    <row r="35" spans="1:24" ht="12.95" customHeight="1" thickBot="1" x14ac:dyDescent="0.25">
      <c r="A35" s="378" t="s">
        <v>606</v>
      </c>
      <c r="B35" s="333"/>
      <c r="C35" s="333"/>
      <c r="D35" s="333"/>
      <c r="E35" s="333"/>
      <c r="F35" s="353"/>
      <c r="G35" s="353"/>
      <c r="H35" s="353"/>
      <c r="I35" s="353"/>
      <c r="J35" s="353"/>
      <c r="K35" s="353"/>
      <c r="L35" s="353"/>
      <c r="M35" s="353"/>
      <c r="N35" s="353"/>
      <c r="O35" s="353"/>
      <c r="P35" s="353"/>
      <c r="Q35" s="353"/>
      <c r="R35" s="353"/>
      <c r="S35" s="333"/>
      <c r="T35" s="332"/>
      <c r="X35" s="443"/>
    </row>
    <row r="36" spans="1:24" ht="12.95" customHeight="1" x14ac:dyDescent="0.2">
      <c r="A36" s="307" t="s">
        <v>607</v>
      </c>
      <c r="B36" s="327">
        <v>15897</v>
      </c>
      <c r="C36" s="327">
        <v>13499</v>
      </c>
      <c r="D36" s="327">
        <v>13499</v>
      </c>
      <c r="E36" s="327">
        <v>13499</v>
      </c>
      <c r="F36" s="327">
        <v>13499</v>
      </c>
      <c r="G36" s="327">
        <v>13499</v>
      </c>
      <c r="H36" s="327">
        <v>13499</v>
      </c>
      <c r="I36" s="327">
        <v>13499</v>
      </c>
      <c r="J36" s="327">
        <v>13499</v>
      </c>
      <c r="K36" s="327">
        <v>13499</v>
      </c>
      <c r="L36" s="327">
        <v>13499</v>
      </c>
      <c r="M36" s="327">
        <v>13499</v>
      </c>
      <c r="N36" s="327">
        <v>13499</v>
      </c>
      <c r="O36" s="327">
        <v>13499</v>
      </c>
      <c r="P36" s="327">
        <v>13499</v>
      </c>
      <c r="Q36" s="327">
        <v>13499</v>
      </c>
      <c r="R36" s="327">
        <v>13499</v>
      </c>
      <c r="S36" s="327">
        <v>13499</v>
      </c>
      <c r="T36" s="326">
        <v>11099</v>
      </c>
      <c r="X36" s="444">
        <v>15899</v>
      </c>
    </row>
    <row r="37" spans="1:24" ht="12.95" customHeight="1" x14ac:dyDescent="0.2">
      <c r="A37" s="334" t="s">
        <v>608</v>
      </c>
      <c r="B37" s="327">
        <v>2400</v>
      </c>
      <c r="C37" s="336">
        <f>200*12</f>
        <v>2400</v>
      </c>
      <c r="D37" s="336">
        <v>200</v>
      </c>
      <c r="E37" s="336">
        <f>D37*2</f>
        <v>400</v>
      </c>
      <c r="F37" s="353"/>
      <c r="G37" s="353"/>
      <c r="H37" s="353"/>
      <c r="I37" s="353"/>
      <c r="J37" s="353"/>
      <c r="K37" s="353"/>
      <c r="L37" s="353"/>
      <c r="M37" s="353"/>
      <c r="N37" s="353"/>
      <c r="O37" s="353"/>
      <c r="P37" s="353"/>
      <c r="Q37" s="353"/>
      <c r="R37" s="353"/>
      <c r="S37" s="336">
        <f>200*7</f>
        <v>1400</v>
      </c>
      <c r="T37" s="335">
        <v>294</v>
      </c>
      <c r="X37" s="445">
        <v>2400</v>
      </c>
    </row>
    <row r="38" spans="1:24" ht="12.95" customHeight="1" x14ac:dyDescent="0.2">
      <c r="A38" s="334" t="s">
        <v>609</v>
      </c>
      <c r="B38" s="327">
        <v>0</v>
      </c>
      <c r="C38" s="327">
        <v>0</v>
      </c>
      <c r="D38" s="327">
        <v>0</v>
      </c>
      <c r="E38" s="327">
        <v>0</v>
      </c>
      <c r="F38" s="353"/>
      <c r="G38" s="353"/>
      <c r="H38" s="353"/>
      <c r="I38" s="353"/>
      <c r="J38" s="353"/>
      <c r="K38" s="353"/>
      <c r="L38" s="353"/>
      <c r="M38" s="353"/>
      <c r="N38" s="353"/>
      <c r="O38" s="353"/>
      <c r="P38" s="353"/>
      <c r="Q38" s="353"/>
      <c r="R38" s="353"/>
      <c r="S38" s="327">
        <v>0</v>
      </c>
      <c r="T38" s="326"/>
      <c r="X38" s="439"/>
    </row>
    <row r="39" spans="1:24" ht="12.95" customHeight="1" x14ac:dyDescent="0.2">
      <c r="A39" s="334" t="s">
        <v>610</v>
      </c>
      <c r="B39" s="327">
        <v>0</v>
      </c>
      <c r="C39" s="327">
        <v>0</v>
      </c>
      <c r="D39" s="327">
        <v>0</v>
      </c>
      <c r="E39" s="327">
        <v>0</v>
      </c>
      <c r="F39" s="353"/>
      <c r="G39" s="353"/>
      <c r="H39" s="353"/>
      <c r="I39" s="353"/>
      <c r="J39" s="353"/>
      <c r="K39" s="353"/>
      <c r="L39" s="353"/>
      <c r="M39" s="353"/>
      <c r="N39" s="353"/>
      <c r="O39" s="353"/>
      <c r="P39" s="353"/>
      <c r="Q39" s="353"/>
      <c r="R39" s="353"/>
      <c r="S39" s="327">
        <v>0</v>
      </c>
      <c r="T39" s="326"/>
      <c r="X39" s="439"/>
    </row>
    <row r="40" spans="1:24" ht="12.95" customHeight="1" thickBot="1" x14ac:dyDescent="0.25">
      <c r="A40" s="307" t="s">
        <v>611</v>
      </c>
      <c r="B40" s="327">
        <f>B36-B37-B38</f>
        <v>13497</v>
      </c>
      <c r="C40" s="327">
        <f>C36-C37-C38</f>
        <v>11099</v>
      </c>
      <c r="D40" s="327">
        <f>D36-D37-D38</f>
        <v>13299</v>
      </c>
      <c r="E40" s="327">
        <f>E36-E37-E38</f>
        <v>13099</v>
      </c>
      <c r="F40" s="353"/>
      <c r="G40" s="353"/>
      <c r="H40" s="353"/>
      <c r="I40" s="353"/>
      <c r="J40" s="353"/>
      <c r="K40" s="353"/>
      <c r="L40" s="353"/>
      <c r="M40" s="353"/>
      <c r="N40" s="353"/>
      <c r="O40" s="353"/>
      <c r="P40" s="353"/>
      <c r="Q40" s="353"/>
      <c r="R40" s="353"/>
      <c r="S40" s="327">
        <f>S36-S37-S38</f>
        <v>12099</v>
      </c>
      <c r="T40" s="326">
        <f>T36-T37-T38</f>
        <v>10805</v>
      </c>
      <c r="X40" s="446">
        <f>X36-X37-X38</f>
        <v>13499</v>
      </c>
    </row>
    <row r="41" spans="1:24" ht="12.95" customHeight="1" thickBot="1" x14ac:dyDescent="0.25">
      <c r="A41" s="378" t="s">
        <v>612</v>
      </c>
      <c r="B41" s="333"/>
      <c r="C41" s="333"/>
      <c r="D41" s="333"/>
      <c r="E41" s="333"/>
      <c r="F41" s="353"/>
      <c r="G41" s="353"/>
      <c r="H41" s="353"/>
      <c r="I41" s="353"/>
      <c r="J41" s="353"/>
      <c r="K41" s="353"/>
      <c r="L41" s="353"/>
      <c r="M41" s="353"/>
      <c r="N41" s="353"/>
      <c r="O41" s="353"/>
      <c r="P41" s="353"/>
      <c r="Q41" s="353"/>
      <c r="R41" s="353"/>
      <c r="S41" s="333">
        <v>0</v>
      </c>
      <c r="T41" s="332"/>
      <c r="X41" s="443"/>
    </row>
    <row r="42" spans="1:24" ht="12.95" customHeight="1" x14ac:dyDescent="0.2">
      <c r="A42" s="307" t="s">
        <v>613</v>
      </c>
      <c r="B42" s="327">
        <v>0</v>
      </c>
      <c r="C42" s="327">
        <v>0</v>
      </c>
      <c r="D42" s="327">
        <v>0</v>
      </c>
      <c r="E42" s="327">
        <v>0</v>
      </c>
      <c r="F42" s="353"/>
      <c r="G42" s="353"/>
      <c r="H42" s="353"/>
      <c r="I42" s="353"/>
      <c r="J42" s="353"/>
      <c r="K42" s="353"/>
      <c r="L42" s="353"/>
      <c r="M42" s="353"/>
      <c r="N42" s="353"/>
      <c r="O42" s="353"/>
      <c r="P42" s="353"/>
      <c r="Q42" s="353"/>
      <c r="R42" s="353"/>
      <c r="S42" s="327">
        <v>0</v>
      </c>
      <c r="T42" s="326">
        <v>-40000</v>
      </c>
      <c r="X42" s="444"/>
    </row>
    <row r="43" spans="1:24" ht="12.95" customHeight="1" x14ac:dyDescent="0.2">
      <c r="A43" s="334" t="s">
        <v>614</v>
      </c>
      <c r="B43" s="327">
        <v>0</v>
      </c>
      <c r="C43" s="327">
        <v>0</v>
      </c>
      <c r="D43" s="327">
        <v>0</v>
      </c>
      <c r="E43" s="327">
        <v>0</v>
      </c>
      <c r="F43" s="353"/>
      <c r="G43" s="353"/>
      <c r="H43" s="353"/>
      <c r="I43" s="353"/>
      <c r="J43" s="353"/>
      <c r="K43" s="353"/>
      <c r="L43" s="353"/>
      <c r="M43" s="353"/>
      <c r="N43" s="353"/>
      <c r="O43" s="353"/>
      <c r="P43" s="353"/>
      <c r="Q43" s="353"/>
      <c r="R43" s="353"/>
      <c r="S43" s="327">
        <v>-40000</v>
      </c>
      <c r="T43" s="326"/>
      <c r="X43" s="439"/>
    </row>
    <row r="44" spans="1:24" ht="12.95" customHeight="1" x14ac:dyDescent="0.2">
      <c r="A44" s="334" t="s">
        <v>615</v>
      </c>
      <c r="B44" s="327">
        <v>0</v>
      </c>
      <c r="C44" s="327">
        <v>0</v>
      </c>
      <c r="D44" s="327">
        <v>0</v>
      </c>
      <c r="E44" s="327">
        <v>0</v>
      </c>
      <c r="F44" s="353"/>
      <c r="G44" s="353"/>
      <c r="H44" s="353"/>
      <c r="I44" s="353"/>
      <c r="J44" s="353"/>
      <c r="K44" s="353"/>
      <c r="L44" s="353"/>
      <c r="M44" s="353"/>
      <c r="N44" s="353"/>
      <c r="O44" s="353"/>
      <c r="P44" s="353"/>
      <c r="Q44" s="353"/>
      <c r="R44" s="353"/>
      <c r="S44" s="327">
        <v>0</v>
      </c>
      <c r="T44" s="326"/>
      <c r="X44" s="439"/>
    </row>
    <row r="45" spans="1:24" ht="12.95" customHeight="1" x14ac:dyDescent="0.2">
      <c r="A45" s="334" t="s">
        <v>616</v>
      </c>
      <c r="B45" s="327">
        <v>0</v>
      </c>
      <c r="C45" s="327">
        <v>0</v>
      </c>
      <c r="D45" s="327">
        <v>0</v>
      </c>
      <c r="E45" s="327">
        <v>0</v>
      </c>
      <c r="F45" s="353"/>
      <c r="G45" s="353"/>
      <c r="H45" s="353"/>
      <c r="I45" s="353"/>
      <c r="J45" s="353"/>
      <c r="K45" s="353"/>
      <c r="L45" s="353"/>
      <c r="M45" s="353"/>
      <c r="N45" s="353"/>
      <c r="O45" s="353"/>
      <c r="P45" s="353"/>
      <c r="Q45" s="353"/>
      <c r="R45" s="353"/>
      <c r="S45" s="327">
        <v>0</v>
      </c>
      <c r="T45" s="326">
        <v>-2000</v>
      </c>
      <c r="X45" s="439"/>
    </row>
    <row r="46" spans="1:24" ht="12.95" customHeight="1" x14ac:dyDescent="0.2">
      <c r="A46" s="307" t="s">
        <v>617</v>
      </c>
      <c r="B46" s="327">
        <v>0</v>
      </c>
      <c r="C46" s="327">
        <v>0</v>
      </c>
      <c r="D46" s="327">
        <v>0</v>
      </c>
      <c r="E46" s="327">
        <v>0</v>
      </c>
      <c r="F46" s="353"/>
      <c r="G46" s="353"/>
      <c r="H46" s="353"/>
      <c r="I46" s="353"/>
      <c r="J46" s="353"/>
      <c r="K46" s="353"/>
      <c r="L46" s="353"/>
      <c r="M46" s="353"/>
      <c r="N46" s="353"/>
      <c r="O46" s="353"/>
      <c r="P46" s="353"/>
      <c r="Q46" s="353"/>
      <c r="R46" s="353"/>
      <c r="S46" s="327">
        <v>0</v>
      </c>
      <c r="T46" s="326">
        <v>-40000</v>
      </c>
      <c r="X46" s="439"/>
    </row>
    <row r="47" spans="1:24" ht="12.95" customHeight="1" x14ac:dyDescent="0.2">
      <c r="A47" s="358" t="s">
        <v>605</v>
      </c>
      <c r="B47" s="360">
        <f>SUM(B37:B39)+SUM(B43:B45)</f>
        <v>2400</v>
      </c>
      <c r="C47" s="360">
        <f>SUM(C37:C39)+SUM(C43:C45)</f>
        <v>2400</v>
      </c>
      <c r="D47" s="360">
        <f>SUM(D37:D39)+SUM(D43:D45)</f>
        <v>200</v>
      </c>
      <c r="E47" s="360">
        <f>SUM(E37:E39)+SUM(E43:E45)</f>
        <v>400</v>
      </c>
      <c r="F47" s="376"/>
      <c r="G47" s="376"/>
      <c r="H47" s="376"/>
      <c r="I47" s="376"/>
      <c r="J47" s="376"/>
      <c r="K47" s="376"/>
      <c r="L47" s="376"/>
      <c r="M47" s="376"/>
      <c r="N47" s="376"/>
      <c r="O47" s="376"/>
      <c r="P47" s="376"/>
      <c r="Q47" s="376"/>
      <c r="R47" s="376"/>
      <c r="S47" s="360">
        <f>SUM(S37:S39)+SUM(S43:S45)</f>
        <v>-38600</v>
      </c>
      <c r="T47" s="359">
        <f>SUM(T37:T39)+SUM(T43:T45)</f>
        <v>-1706</v>
      </c>
      <c r="X47" s="456">
        <f>SUM(X37:X39)+SUM(X43:X45)</f>
        <v>2400</v>
      </c>
    </row>
    <row r="48" spans="1:24" ht="12.95" customHeight="1" x14ac:dyDescent="0.2">
      <c r="A48" s="307"/>
      <c r="B48" s="333"/>
      <c r="C48" s="333"/>
      <c r="D48" s="333"/>
      <c r="E48" s="333"/>
      <c r="F48" s="353"/>
      <c r="G48" s="353"/>
      <c r="H48" s="353"/>
      <c r="I48" s="353"/>
      <c r="J48" s="353"/>
      <c r="K48" s="353"/>
      <c r="L48" s="353"/>
      <c r="M48" s="353"/>
      <c r="N48" s="353"/>
      <c r="O48" s="353"/>
      <c r="P48" s="353"/>
      <c r="Q48" s="353"/>
      <c r="R48" s="353"/>
      <c r="S48" s="333"/>
      <c r="T48" s="332"/>
      <c r="X48" s="441"/>
    </row>
    <row r="49" spans="1:24" ht="12.95" customHeight="1" x14ac:dyDescent="0.2">
      <c r="A49" s="337" t="s">
        <v>618</v>
      </c>
      <c r="B49" s="339">
        <v>700522</v>
      </c>
      <c r="C49" s="339">
        <v>188691</v>
      </c>
      <c r="D49" s="339">
        <v>500746</v>
      </c>
      <c r="E49" s="339">
        <v>500746</v>
      </c>
      <c r="F49" s="353"/>
      <c r="G49" s="353"/>
      <c r="H49" s="353"/>
      <c r="I49" s="353"/>
      <c r="J49" s="353"/>
      <c r="K49" s="353"/>
      <c r="L49" s="353"/>
      <c r="M49" s="353"/>
      <c r="N49" s="353"/>
      <c r="O49" s="353"/>
      <c r="P49" s="353"/>
      <c r="Q49" s="353"/>
      <c r="R49" s="353"/>
      <c r="S49" s="339">
        <v>-267494</v>
      </c>
      <c r="T49" s="338">
        <v>120000</v>
      </c>
      <c r="X49" s="447">
        <v>500746</v>
      </c>
    </row>
    <row r="50" spans="1:24" ht="12.95" customHeight="1" x14ac:dyDescent="0.2">
      <c r="A50" s="340" t="s">
        <v>619</v>
      </c>
      <c r="B50" s="379">
        <f>+B15+B21+B32+B47</f>
        <v>-290900.58999999997</v>
      </c>
      <c r="C50" s="379">
        <f>+C15+C21+C32+C47</f>
        <v>93314</v>
      </c>
      <c r="D50" s="379">
        <f>+D15+D21+D32+D47</f>
        <v>-40340.129999999997</v>
      </c>
      <c r="E50" s="379">
        <f>+E15+E21+E32+E47</f>
        <v>-79809.330000000031</v>
      </c>
      <c r="F50" s="353"/>
      <c r="G50" s="353"/>
      <c r="H50" s="353"/>
      <c r="I50" s="353"/>
      <c r="J50" s="353"/>
      <c r="K50" s="353"/>
      <c r="L50" s="353"/>
      <c r="M50" s="353"/>
      <c r="N50" s="353"/>
      <c r="O50" s="353"/>
      <c r="P50" s="353"/>
      <c r="Q50" s="353"/>
      <c r="R50" s="353"/>
      <c r="S50" s="379">
        <f>+S15+S21+S32+S47+S26</f>
        <v>214825.82000000007</v>
      </c>
      <c r="T50" s="341">
        <f>+T15+T21+T32+T47+T26</f>
        <v>135914.00000000003</v>
      </c>
      <c r="U50" s="342"/>
      <c r="X50" s="448">
        <f>+X15+X21+X32+X47+X26</f>
        <v>-768240.48000000021</v>
      </c>
    </row>
    <row r="51" spans="1:24" ht="12.95" customHeight="1" x14ac:dyDescent="0.2">
      <c r="A51" s="337" t="s">
        <v>620</v>
      </c>
      <c r="B51" s="339">
        <f>+B49+B50</f>
        <v>409621.41000000003</v>
      </c>
      <c r="C51" s="339">
        <f>+C49+C50</f>
        <v>282005</v>
      </c>
      <c r="D51" s="339">
        <f>+D49+D50</f>
        <v>460405.87</v>
      </c>
      <c r="E51" s="339">
        <f>+E49+E50</f>
        <v>420936.67</v>
      </c>
      <c r="F51" s="353"/>
      <c r="G51" s="353"/>
      <c r="H51" s="353"/>
      <c r="I51" s="353"/>
      <c r="J51" s="353"/>
      <c r="K51" s="353"/>
      <c r="L51" s="353"/>
      <c r="M51" s="353"/>
      <c r="N51" s="353"/>
      <c r="O51" s="353"/>
      <c r="P51" s="353"/>
      <c r="Q51" s="353"/>
      <c r="R51" s="353"/>
      <c r="S51" s="339">
        <f>+S49+S50</f>
        <v>-52668.179999999935</v>
      </c>
      <c r="T51" s="338">
        <f>+T49+T50</f>
        <v>255914.00000000003</v>
      </c>
      <c r="U51" s="342"/>
      <c r="X51" s="447">
        <f>+X49+X50</f>
        <v>-267494.48000000021</v>
      </c>
    </row>
    <row r="52" spans="1:24" ht="12.95" customHeight="1" x14ac:dyDescent="0.2">
      <c r="A52" s="318"/>
      <c r="B52" s="325"/>
      <c r="C52" s="325"/>
      <c r="D52" s="325"/>
      <c r="E52" s="325"/>
      <c r="F52" s="353"/>
      <c r="G52" s="353"/>
      <c r="H52" s="353"/>
      <c r="I52" s="353"/>
      <c r="J52" s="353"/>
      <c r="K52" s="353"/>
      <c r="L52" s="353"/>
      <c r="M52" s="353"/>
      <c r="N52" s="353"/>
      <c r="O52" s="353"/>
      <c r="P52" s="353"/>
      <c r="Q52" s="353"/>
      <c r="R52" s="353"/>
      <c r="S52" s="325"/>
      <c r="T52" s="324"/>
      <c r="X52" s="438"/>
    </row>
    <row r="53" spans="1:24" ht="12.95" customHeight="1" x14ac:dyDescent="0.2">
      <c r="A53" s="337" t="s">
        <v>620</v>
      </c>
      <c r="B53" s="339" t="s">
        <v>575</v>
      </c>
      <c r="C53" s="339" t="s">
        <v>575</v>
      </c>
      <c r="D53" s="339" t="s">
        <v>575</v>
      </c>
      <c r="E53" s="339" t="s">
        <v>575</v>
      </c>
      <c r="F53" s="353"/>
      <c r="G53" s="353"/>
      <c r="H53" s="353"/>
      <c r="I53" s="353"/>
      <c r="J53" s="353"/>
      <c r="K53" s="353"/>
      <c r="L53" s="353"/>
      <c r="M53" s="353"/>
      <c r="N53" s="353"/>
      <c r="O53" s="353"/>
      <c r="P53" s="353"/>
      <c r="Q53" s="353"/>
      <c r="R53" s="353"/>
      <c r="S53" s="339" t="s">
        <v>575</v>
      </c>
      <c r="T53" s="338" t="s">
        <v>575</v>
      </c>
      <c r="X53" s="447" t="s">
        <v>575</v>
      </c>
    </row>
    <row r="54" spans="1:24" ht="12.95" customHeight="1" x14ac:dyDescent="0.2">
      <c r="A54" s="307" t="s">
        <v>621</v>
      </c>
      <c r="B54" s="380">
        <f>B51-B56</f>
        <v>203683.81999999995</v>
      </c>
      <c r="C54" s="380">
        <v>325972</v>
      </c>
      <c r="D54" s="380">
        <f>D51-D56</f>
        <v>394246.87</v>
      </c>
      <c r="E54" s="380">
        <f>E51-E56</f>
        <v>353827.71</v>
      </c>
      <c r="F54" s="353"/>
      <c r="G54" s="353"/>
      <c r="H54" s="353"/>
      <c r="I54" s="353"/>
      <c r="J54" s="353"/>
      <c r="K54" s="353"/>
      <c r="L54" s="353"/>
      <c r="M54" s="353"/>
      <c r="N54" s="353"/>
      <c r="O54" s="353"/>
      <c r="P54" s="353"/>
      <c r="Q54" s="353"/>
      <c r="R54" s="353"/>
      <c r="S54" s="380">
        <f>S51-S56</f>
        <v>-902.84999999997672</v>
      </c>
      <c r="T54" s="343">
        <f>T51-T56</f>
        <v>385757</v>
      </c>
      <c r="X54" s="343">
        <f t="shared" ref="X54" si="0">X51-X56</f>
        <v>-261796.82000000018</v>
      </c>
    </row>
    <row r="55" spans="1:24" ht="12.95" customHeight="1" x14ac:dyDescent="0.2">
      <c r="A55" s="311" t="s">
        <v>622</v>
      </c>
      <c r="B55" s="345">
        <v>0</v>
      </c>
      <c r="C55" s="345">
        <v>0</v>
      </c>
      <c r="D55" s="345">
        <v>0</v>
      </c>
      <c r="E55" s="345">
        <v>0</v>
      </c>
      <c r="F55" s="353"/>
      <c r="G55" s="353"/>
      <c r="H55" s="353"/>
      <c r="I55" s="353"/>
      <c r="J55" s="353"/>
      <c r="K55" s="353"/>
      <c r="L55" s="353"/>
      <c r="M55" s="353"/>
      <c r="N55" s="353"/>
      <c r="O55" s="353"/>
      <c r="P55" s="353"/>
      <c r="Q55" s="353"/>
      <c r="R55" s="353"/>
      <c r="S55" s="345">
        <v>0</v>
      </c>
      <c r="T55" s="344"/>
      <c r="X55" s="449"/>
    </row>
    <row r="56" spans="1:24" ht="12.95" customHeight="1" x14ac:dyDescent="0.2">
      <c r="A56" s="307" t="s">
        <v>623</v>
      </c>
      <c r="B56" s="380">
        <f>+B57+B59+B60+B58</f>
        <v>205937.59000000008</v>
      </c>
      <c r="C56" s="380">
        <f>+C57+C59+C60+C58</f>
        <v>-43967</v>
      </c>
      <c r="D56" s="380">
        <f>+D57+D59+D60+D58</f>
        <v>66159</v>
      </c>
      <c r="E56" s="380">
        <f>+E57+E59+E60+E58</f>
        <v>67108.959999999963</v>
      </c>
      <c r="F56" s="353"/>
      <c r="G56" s="353"/>
      <c r="H56" s="353"/>
      <c r="I56" s="353"/>
      <c r="J56" s="353"/>
      <c r="K56" s="353"/>
      <c r="L56" s="353"/>
      <c r="M56" s="353"/>
      <c r="N56" s="353"/>
      <c r="O56" s="353"/>
      <c r="P56" s="353"/>
      <c r="Q56" s="353"/>
      <c r="R56" s="353"/>
      <c r="S56" s="380">
        <f>+S57+S59+S60+S58</f>
        <v>-51765.329999999958</v>
      </c>
      <c r="T56" s="343">
        <f>+T57+T59+T60+T58</f>
        <v>-129843</v>
      </c>
      <c r="X56" s="450">
        <f>+X57+X59+X60+X58</f>
        <v>-5697.6600000000326</v>
      </c>
    </row>
    <row r="57" spans="1:24" ht="12.95" customHeight="1" x14ac:dyDescent="0.2">
      <c r="A57" s="311" t="s">
        <v>624</v>
      </c>
      <c r="B57" s="345">
        <v>1104591</v>
      </c>
      <c r="C57" s="345">
        <v>956033</v>
      </c>
      <c r="D57" s="345">
        <v>1066159</v>
      </c>
      <c r="E57" s="345">
        <v>1067108.96</v>
      </c>
      <c r="F57" s="353"/>
      <c r="G57" s="353"/>
      <c r="H57" s="353"/>
      <c r="I57" s="353"/>
      <c r="J57" s="353"/>
      <c r="K57" s="353"/>
      <c r="L57" s="353"/>
      <c r="M57" s="353"/>
      <c r="N57" s="353"/>
      <c r="O57" s="353"/>
      <c r="P57" s="353"/>
      <c r="Q57" s="353"/>
      <c r="R57" s="353"/>
      <c r="S57" s="345">
        <v>848234.67</v>
      </c>
      <c r="T57" s="344">
        <v>770157</v>
      </c>
      <c r="X57" s="449">
        <v>994302.34</v>
      </c>
    </row>
    <row r="58" spans="1:24" ht="12.95" customHeight="1" x14ac:dyDescent="0.2">
      <c r="A58" s="311" t="s">
        <v>625</v>
      </c>
      <c r="B58" s="345">
        <v>-1000000</v>
      </c>
      <c r="C58" s="345">
        <v>-1000000</v>
      </c>
      <c r="D58" s="345">
        <v>-1000000</v>
      </c>
      <c r="E58" s="345">
        <v>-1000000</v>
      </c>
      <c r="F58" s="353"/>
      <c r="G58" s="353"/>
      <c r="H58" s="353"/>
      <c r="I58" s="353"/>
      <c r="J58" s="353"/>
      <c r="K58" s="353"/>
      <c r="L58" s="353"/>
      <c r="M58" s="353"/>
      <c r="N58" s="353"/>
      <c r="O58" s="353"/>
      <c r="P58" s="353"/>
      <c r="Q58" s="353"/>
      <c r="R58" s="353"/>
      <c r="S58" s="345">
        <v>-900000</v>
      </c>
      <c r="T58" s="344">
        <v>-900000</v>
      </c>
      <c r="X58" s="449">
        <v>-1000000</v>
      </c>
    </row>
    <row r="59" spans="1:24" ht="12.95" customHeight="1" x14ac:dyDescent="0.2">
      <c r="A59" s="311" t="s">
        <v>626</v>
      </c>
      <c r="B59" s="345">
        <v>3338</v>
      </c>
      <c r="C59" s="345">
        <v>0</v>
      </c>
      <c r="D59" s="345">
        <v>0</v>
      </c>
      <c r="E59" s="345">
        <v>0</v>
      </c>
      <c r="F59" s="353"/>
      <c r="G59" s="353"/>
      <c r="H59" s="353"/>
      <c r="I59" s="353"/>
      <c r="J59" s="353"/>
      <c r="K59" s="353"/>
      <c r="L59" s="353"/>
      <c r="M59" s="353"/>
      <c r="N59" s="353"/>
      <c r="O59" s="353"/>
      <c r="P59" s="353"/>
      <c r="Q59" s="353"/>
      <c r="R59" s="353"/>
      <c r="S59" s="345">
        <v>0</v>
      </c>
      <c r="T59" s="344"/>
      <c r="X59" s="449"/>
    </row>
    <row r="60" spans="1:24" ht="12.95" customHeight="1" x14ac:dyDescent="0.2">
      <c r="A60" s="311" t="s">
        <v>627</v>
      </c>
      <c r="B60" s="345">
        <v>98008.59</v>
      </c>
      <c r="C60" s="345">
        <v>0</v>
      </c>
      <c r="D60" s="345">
        <v>0</v>
      </c>
      <c r="E60" s="345">
        <v>0</v>
      </c>
      <c r="F60" s="353"/>
      <c r="G60" s="353"/>
      <c r="H60" s="353"/>
      <c r="I60" s="353"/>
      <c r="J60" s="353"/>
      <c r="K60" s="353"/>
      <c r="L60" s="353"/>
      <c r="M60" s="353"/>
      <c r="N60" s="353"/>
      <c r="O60" s="353"/>
      <c r="P60" s="353"/>
      <c r="Q60" s="353"/>
      <c r="R60" s="353"/>
      <c r="S60" s="345">
        <v>0</v>
      </c>
      <c r="T60" s="344"/>
      <c r="X60" s="449"/>
    </row>
    <row r="61" spans="1:24" ht="12.95" customHeight="1" thickBot="1" x14ac:dyDescent="0.25">
      <c r="A61" s="381" t="s">
        <v>211</v>
      </c>
      <c r="B61" s="382">
        <f>+B54+B56</f>
        <v>409621.41000000003</v>
      </c>
      <c r="C61" s="382">
        <f>+C54+C56</f>
        <v>282005</v>
      </c>
      <c r="D61" s="382">
        <f>+D54+D56</f>
        <v>460405.87</v>
      </c>
      <c r="E61" s="382">
        <f>+E54+E56</f>
        <v>420936.67</v>
      </c>
      <c r="F61" s="383"/>
      <c r="G61" s="383"/>
      <c r="H61" s="383"/>
      <c r="I61" s="383"/>
      <c r="J61" s="383"/>
      <c r="K61" s="383"/>
      <c r="L61" s="383"/>
      <c r="M61" s="383"/>
      <c r="N61" s="383"/>
      <c r="O61" s="383"/>
      <c r="P61" s="383"/>
      <c r="Q61" s="383"/>
      <c r="R61" s="383"/>
      <c r="S61" s="382">
        <f>+S54+S56</f>
        <v>-52668.179999999935</v>
      </c>
      <c r="T61" s="346">
        <f>+T54+T56</f>
        <v>255914</v>
      </c>
      <c r="X61" s="451">
        <f>+X54+X56</f>
        <v>-267494.48000000021</v>
      </c>
    </row>
    <row r="62" spans="1:24" ht="12.95" customHeight="1" x14ac:dyDescent="0.2">
      <c r="A62" s="354"/>
      <c r="B62" s="354"/>
      <c r="C62" s="354"/>
      <c r="D62" s="354"/>
      <c r="E62" s="354"/>
      <c r="F62" s="354"/>
      <c r="G62" s="354"/>
    </row>
    <row r="63" spans="1:24" ht="12.95" hidden="1" customHeight="1" x14ac:dyDescent="0.2">
      <c r="A63" s="354" t="s">
        <v>628</v>
      </c>
      <c r="B63" s="355">
        <f>+B54-B55</f>
        <v>203683.81999999995</v>
      </c>
      <c r="C63" s="355">
        <f>+C54-C55</f>
        <v>325972</v>
      </c>
      <c r="D63" s="355">
        <f>+D54-D55</f>
        <v>394246.87</v>
      </c>
      <c r="E63" s="355">
        <f>+E54-E55</f>
        <v>353827.71</v>
      </c>
      <c r="F63" s="354"/>
      <c r="G63" s="354"/>
      <c r="S63" s="347">
        <f>+S54-S55</f>
        <v>-902.84999999997672</v>
      </c>
      <c r="T63" s="347"/>
      <c r="X63" s="452"/>
    </row>
    <row r="64" spans="1:24" ht="12.95" hidden="1" customHeight="1" x14ac:dyDescent="0.2">
      <c r="A64" s="354"/>
      <c r="B64" s="354"/>
      <c r="C64" s="354"/>
      <c r="D64" s="354"/>
      <c r="E64" s="354"/>
      <c r="F64" s="354"/>
      <c r="G64" s="354"/>
    </row>
    <row r="65" spans="1:24" ht="12.95" hidden="1" customHeight="1" x14ac:dyDescent="0.2">
      <c r="A65" s="354" t="s">
        <v>629</v>
      </c>
      <c r="B65" s="354"/>
      <c r="C65" s="354"/>
      <c r="D65" s="354"/>
      <c r="E65" s="356">
        <v>501809.82</v>
      </c>
      <c r="F65" s="354"/>
      <c r="G65" s="354"/>
      <c r="S65" s="348">
        <v>392708.17</v>
      </c>
      <c r="T65" s="348"/>
      <c r="U65" s="349"/>
      <c r="X65" s="453"/>
    </row>
    <row r="66" spans="1:24" ht="15" hidden="1" customHeight="1" x14ac:dyDescent="0.2">
      <c r="A66" s="354"/>
      <c r="B66" s="354"/>
      <c r="C66" s="354"/>
      <c r="D66" s="354"/>
      <c r="E66" s="354"/>
      <c r="F66" s="354"/>
      <c r="G66" s="354"/>
    </row>
    <row r="67" spans="1:24" ht="15" hidden="1" customHeight="1" x14ac:dyDescent="0.2">
      <c r="A67" s="354"/>
      <c r="B67" s="354"/>
      <c r="C67" s="354"/>
      <c r="D67" s="354"/>
      <c r="E67" s="354"/>
      <c r="F67" s="354"/>
      <c r="G67" s="354"/>
      <c r="S67" s="350">
        <f>S51-S65</f>
        <v>-445376.34999999992</v>
      </c>
      <c r="T67" s="350"/>
      <c r="X67" s="454"/>
    </row>
    <row r="68" spans="1:24" ht="15" customHeight="1" x14ac:dyDescent="0.2">
      <c r="A68" s="357"/>
      <c r="B68" s="357"/>
      <c r="C68" s="357"/>
      <c r="D68" s="357"/>
      <c r="E68" s="357"/>
      <c r="F68" s="357"/>
      <c r="G68" s="357"/>
    </row>
    <row r="69" spans="1:24" ht="15" customHeight="1" x14ac:dyDescent="0.2">
      <c r="A69" s="357"/>
      <c r="B69" s="357"/>
      <c r="C69" s="357"/>
      <c r="D69" s="357"/>
      <c r="E69" s="357"/>
      <c r="F69" s="357"/>
      <c r="G69" s="357"/>
    </row>
    <row r="70" spans="1:24" ht="15" customHeight="1" x14ac:dyDescent="0.2">
      <c r="A70" s="354"/>
      <c r="B70" s="354"/>
      <c r="C70" s="354"/>
      <c r="D70" s="354"/>
      <c r="E70" s="354"/>
      <c r="F70" s="354"/>
      <c r="G70" s="354"/>
    </row>
    <row r="71" spans="1:24" ht="15" customHeight="1" x14ac:dyDescent="0.2"/>
    <row r="72" spans="1:24" ht="15" customHeight="1" x14ac:dyDescent="0.2"/>
    <row r="73" spans="1:24" ht="15" customHeight="1" x14ac:dyDescent="0.2"/>
    <row r="74" spans="1:24" ht="15" customHeight="1" x14ac:dyDescent="0.2"/>
    <row r="75" spans="1:24" ht="15" customHeight="1" x14ac:dyDescent="0.2"/>
    <row r="76" spans="1:24" ht="15" customHeight="1" x14ac:dyDescent="0.2"/>
    <row r="77" spans="1:24" ht="15" customHeight="1" x14ac:dyDescent="0.2"/>
    <row r="78" spans="1:24" ht="15" customHeight="1" x14ac:dyDescent="0.2"/>
    <row r="79" spans="1:24" ht="15" customHeight="1" x14ac:dyDescent="0.2"/>
    <row r="80" spans="1:24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59" hidden="1" x14ac:dyDescent="0.2"/>
    <row r="160" hidden="1" x14ac:dyDescent="0.2"/>
    <row r="161" spans="1:24" hidden="1" x14ac:dyDescent="0.2"/>
    <row r="162" spans="1:24" hidden="1" x14ac:dyDescent="0.2"/>
    <row r="163" spans="1:24" hidden="1" x14ac:dyDescent="0.2"/>
    <row r="164" spans="1:24" hidden="1" x14ac:dyDescent="0.2"/>
    <row r="165" spans="1:24" hidden="1" x14ac:dyDescent="0.2"/>
    <row r="166" spans="1:24" hidden="1" x14ac:dyDescent="0.2"/>
    <row r="167" spans="1:24" ht="7.15" hidden="1" customHeight="1" x14ac:dyDescent="0.2"/>
    <row r="168" spans="1:24" s="352" customFormat="1" hidden="1" x14ac:dyDescent="0.2">
      <c r="A168" s="305"/>
      <c r="B168" s="351"/>
      <c r="C168" s="351"/>
      <c r="D168" s="351"/>
      <c r="E168" s="351"/>
      <c r="S168" s="351"/>
      <c r="T168" s="351"/>
      <c r="X168" s="455"/>
    </row>
  </sheetData>
  <mergeCells count="3">
    <mergeCell ref="A1:D1"/>
    <mergeCell ref="A2:D2"/>
    <mergeCell ref="A3:D3"/>
  </mergeCells>
  <conditionalFormatting sqref="A5">
    <cfRule type="cellIs" dxfId="10" priority="15" operator="lessThan">
      <formula>0</formula>
    </cfRule>
  </conditionalFormatting>
  <conditionalFormatting sqref="A51:A62">
    <cfRule type="cellIs" dxfId="9" priority="14" operator="lessThan">
      <formula>0</formula>
    </cfRule>
  </conditionalFormatting>
  <conditionalFormatting sqref="B51:E52">
    <cfRule type="cellIs" dxfId="8" priority="13" operator="lessThan">
      <formula>0</formula>
    </cfRule>
  </conditionalFormatting>
  <conditionalFormatting sqref="B54:E57">
    <cfRule type="cellIs" dxfId="7" priority="11" operator="lessThan">
      <formula>0</formula>
    </cfRule>
  </conditionalFormatting>
  <conditionalFormatting sqref="B59:E60">
    <cfRule type="cellIs" dxfId="6" priority="12" operator="lessThan">
      <formula>0</formula>
    </cfRule>
  </conditionalFormatting>
  <conditionalFormatting sqref="S51:T52">
    <cfRule type="cellIs" dxfId="5" priority="10" operator="lessThan">
      <formula>0</formula>
    </cfRule>
  </conditionalFormatting>
  <conditionalFormatting sqref="S54:T57">
    <cfRule type="cellIs" dxfId="4" priority="8" operator="lessThan">
      <formula>0</formula>
    </cfRule>
  </conditionalFormatting>
  <conditionalFormatting sqref="S59:T60">
    <cfRule type="cellIs" dxfId="3" priority="9" operator="lessThan">
      <formula>0</formula>
    </cfRule>
  </conditionalFormatting>
  <conditionalFormatting sqref="X51:X52">
    <cfRule type="cellIs" dxfId="2" priority="3" operator="lessThan">
      <formula>0</formula>
    </cfRule>
  </conditionalFormatting>
  <conditionalFormatting sqref="X54:X57">
    <cfRule type="cellIs" dxfId="1" priority="1" operator="lessThan">
      <formula>0</formula>
    </cfRule>
  </conditionalFormatting>
  <conditionalFormatting sqref="X59:X60">
    <cfRule type="cellIs" dxfId="0" priority="2" operator="lessThan">
      <formula>0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5</vt:i4>
      </vt:variant>
    </vt:vector>
  </HeadingPairs>
  <TitlesOfParts>
    <vt:vector size="5" baseType="lpstr">
      <vt:lpstr>Biudžetas</vt:lpstr>
      <vt:lpstr>Bandomasis balansas</vt:lpstr>
      <vt:lpstr>DU suvestinė</vt:lpstr>
      <vt:lpstr>IT</vt:lpstr>
      <vt:lpstr>PSA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ELVapskaita25</dc:creator>
  <cp:lastModifiedBy>Vidmantas Adomaitis</cp:lastModifiedBy>
  <dcterms:created xsi:type="dcterms:W3CDTF">2025-03-14T14:09:13Z</dcterms:created>
  <dcterms:modified xsi:type="dcterms:W3CDTF">2025-11-11T12:44:12Z</dcterms:modified>
</cp:coreProperties>
</file>